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预算公开\2020\"/>
    </mc:Choice>
  </mc:AlternateContent>
  <bookViews>
    <workbookView xWindow="0" yWindow="135" windowWidth="20520" windowHeight="11640" tabRatio="1000" activeTab="3"/>
  </bookViews>
  <sheets>
    <sheet name="封面" sheetId="164" r:id="rId1"/>
    <sheet name="附表1-1" sheetId="19" r:id="rId2"/>
    <sheet name="附表1-2" sheetId="21" r:id="rId3"/>
    <sheet name="附表1-3" sheetId="22" r:id="rId4"/>
    <sheet name="附表1-4" sheetId="23" r:id="rId5"/>
    <sheet name="附表1-5" sheetId="24" r:id="rId6"/>
    <sheet name="附表1-6" sheetId="168" r:id="rId7"/>
    <sheet name="附表1-7" sheetId="169" r:id="rId8"/>
    <sheet name="附表1-8" sheetId="173" r:id="rId9"/>
    <sheet name="附表1-9" sheetId="166" r:id="rId10"/>
    <sheet name="附表1-10" sheetId="29" r:id="rId11"/>
    <sheet name="附表1-11" sheetId="28" r:id="rId12"/>
    <sheet name="附表1-12" sheetId="32" r:id="rId13"/>
    <sheet name="附表1-13" sheetId="33" r:id="rId14"/>
    <sheet name="附表1-14" sheetId="36" r:id="rId15"/>
    <sheet name="附表1-15" sheetId="37" r:id="rId16"/>
    <sheet name="附表5-1" sheetId="171" r:id="rId17"/>
    <sheet name="附表5-3" sheetId="172" r:id="rId18"/>
  </sheets>
  <externalReferences>
    <externalReference r:id="rId19"/>
    <externalReference r:id="rId20"/>
  </externalReferences>
  <definedNames>
    <definedName name="_xlnm._FilterDatabase" localSheetId="3" hidden="1">'附表1-3'!$A$4:$E$496</definedName>
    <definedName name="_xlnm._FilterDatabase" localSheetId="5" hidden="1">'附表1-5'!$A$4:$G$80</definedName>
    <definedName name="_Order1" hidden="1">255</definedName>
    <definedName name="_Order2" hidden="1">255</definedName>
    <definedName name="_xlnm.Database" localSheetId="6">#REF!</definedName>
    <definedName name="_xlnm.Database" localSheetId="9">#REF!</definedName>
    <definedName name="_xlnm.Database" localSheetId="16">#REF!</definedName>
    <definedName name="_xlnm.Database" localSheetId="17">#REF!</definedName>
    <definedName name="_xlnm.Database">#REF!</definedName>
    <definedName name="database2" localSheetId="6">#REF!</definedName>
    <definedName name="database2" localSheetId="9">#REF!</definedName>
    <definedName name="database2" localSheetId="16">#REF!</definedName>
    <definedName name="database2" localSheetId="17">#REF!</definedName>
    <definedName name="database2">#REF!</definedName>
    <definedName name="database3" localSheetId="6">#REF!</definedName>
    <definedName name="database3" localSheetId="9">#REF!</definedName>
    <definedName name="database3" localSheetId="16">#REF!</definedName>
    <definedName name="database3" localSheetId="17">#REF!</definedName>
    <definedName name="database3">#REF!</definedName>
    <definedName name="gxxe2003">[1]P1012001!$A$6:$E$117</definedName>
    <definedName name="hhhh" localSheetId="6">#REF!</definedName>
    <definedName name="hhhh" localSheetId="9">#REF!</definedName>
    <definedName name="hhhh" localSheetId="16">#REF!</definedName>
    <definedName name="hhhh" localSheetId="17">#REF!</definedName>
    <definedName name="hhhh">#REF!</definedName>
    <definedName name="kkkk" localSheetId="6">#REF!</definedName>
    <definedName name="kkkk" localSheetId="9">#REF!</definedName>
    <definedName name="kkkk" localSheetId="16">#REF!</definedName>
    <definedName name="kkkk" localSheetId="17">#REF!</definedName>
    <definedName name="kkkk">#REF!</definedName>
    <definedName name="_xlnm.Print_Area" localSheetId="0">封面!$A$1:$C$25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2">'附表1-2'!$1:$4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9">'附表1-9'!$1:$4</definedName>
    <definedName name="_xlnm.Print_Titles">#N/A</definedName>
    <definedName name="UU" localSheetId="6">#REF!</definedName>
    <definedName name="UU" localSheetId="9">#REF!</definedName>
    <definedName name="UU" localSheetId="16">#REF!</definedName>
    <definedName name="UU" localSheetId="17">#REF!</definedName>
    <definedName name="UU">#REF!</definedName>
    <definedName name="YY" localSheetId="6">#REF!</definedName>
    <definedName name="YY" localSheetId="9">#REF!</definedName>
    <definedName name="YY" localSheetId="16">#REF!</definedName>
    <definedName name="YY" localSheetId="17">#REF!</definedName>
    <definedName name="YY">#REF!</definedName>
    <definedName name="地区名称" localSheetId="6">#REF!</definedName>
    <definedName name="地区名称" localSheetId="9">#REF!</definedName>
    <definedName name="地区名称" localSheetId="16">#REF!</definedName>
    <definedName name="地区名称" localSheetId="17">#REF!</definedName>
    <definedName name="地区名称">#REF!</definedName>
    <definedName name="福州" localSheetId="6">#REF!</definedName>
    <definedName name="福州" localSheetId="9">#REF!</definedName>
    <definedName name="福州" localSheetId="16">#REF!</definedName>
    <definedName name="福州" localSheetId="17">#REF!</definedName>
    <definedName name="福州">#REF!</definedName>
    <definedName name="汇率" localSheetId="6">#REF!</definedName>
    <definedName name="汇率" localSheetId="9">#REF!</definedName>
    <definedName name="汇率" localSheetId="16">#REF!</definedName>
    <definedName name="汇率" localSheetId="17">#REF!</definedName>
    <definedName name="汇率">#REF!</definedName>
    <definedName name="全额差额比例" localSheetId="6">'[2]C01-1'!#REF!</definedName>
    <definedName name="全额差额比例" localSheetId="7">'[2]C01-1'!#REF!</definedName>
    <definedName name="全额差额比例" localSheetId="9">'[2]C01-1'!#REF!</definedName>
    <definedName name="全额差额比例" localSheetId="16">'[2]C01-1'!#REF!</definedName>
    <definedName name="全额差额比例" localSheetId="17">'[2]C01-1'!#REF!</definedName>
    <definedName name="全额差额比例">'[2]C01-1'!#REF!</definedName>
    <definedName name="生产列1" localSheetId="6">#REF!</definedName>
    <definedName name="生产列1" localSheetId="9">#REF!</definedName>
    <definedName name="生产列1" localSheetId="16">#REF!</definedName>
    <definedName name="生产列1" localSheetId="17">#REF!</definedName>
    <definedName name="生产列1">#REF!</definedName>
    <definedName name="生产列11" localSheetId="6">#REF!</definedName>
    <definedName name="生产列11" localSheetId="9">#REF!</definedName>
    <definedName name="生产列11" localSheetId="16">#REF!</definedName>
    <definedName name="生产列11" localSheetId="17">#REF!</definedName>
    <definedName name="生产列11">#REF!</definedName>
    <definedName name="生产列15" localSheetId="6">#REF!</definedName>
    <definedName name="生产列15" localSheetId="9">#REF!</definedName>
    <definedName name="生产列15" localSheetId="16">#REF!</definedName>
    <definedName name="生产列15" localSheetId="17">#REF!</definedName>
    <definedName name="生产列15">#REF!</definedName>
    <definedName name="生产列16" localSheetId="6">#REF!</definedName>
    <definedName name="生产列16" localSheetId="9">#REF!</definedName>
    <definedName name="生产列16" localSheetId="16">#REF!</definedName>
    <definedName name="生产列16" localSheetId="17">#REF!</definedName>
    <definedName name="生产列16">#REF!</definedName>
    <definedName name="生产列17" localSheetId="6">#REF!</definedName>
    <definedName name="生产列17" localSheetId="9">#REF!</definedName>
    <definedName name="生产列17" localSheetId="16">#REF!</definedName>
    <definedName name="生产列17" localSheetId="17">#REF!</definedName>
    <definedName name="生产列17">#REF!</definedName>
    <definedName name="生产列19" localSheetId="6">#REF!</definedName>
    <definedName name="生产列19" localSheetId="9">#REF!</definedName>
    <definedName name="生产列19" localSheetId="16">#REF!</definedName>
    <definedName name="生产列19" localSheetId="17">#REF!</definedName>
    <definedName name="生产列19">#REF!</definedName>
    <definedName name="生产列2" localSheetId="6">#REF!</definedName>
    <definedName name="生产列2" localSheetId="9">#REF!</definedName>
    <definedName name="生产列2" localSheetId="16">#REF!</definedName>
    <definedName name="生产列2" localSheetId="17">#REF!</definedName>
    <definedName name="生产列2">#REF!</definedName>
    <definedName name="生产列20" localSheetId="6">#REF!</definedName>
    <definedName name="生产列20" localSheetId="9">#REF!</definedName>
    <definedName name="生产列20" localSheetId="16">#REF!</definedName>
    <definedName name="生产列20" localSheetId="17">#REF!</definedName>
    <definedName name="生产列20">#REF!</definedName>
    <definedName name="生产列3" localSheetId="6">#REF!</definedName>
    <definedName name="生产列3" localSheetId="9">#REF!</definedName>
    <definedName name="生产列3" localSheetId="16">#REF!</definedName>
    <definedName name="生产列3" localSheetId="17">#REF!</definedName>
    <definedName name="生产列3">#REF!</definedName>
    <definedName name="生产列4" localSheetId="6">#REF!</definedName>
    <definedName name="生产列4" localSheetId="9">#REF!</definedName>
    <definedName name="生产列4" localSheetId="16">#REF!</definedName>
    <definedName name="生产列4" localSheetId="17">#REF!</definedName>
    <definedName name="生产列4">#REF!</definedName>
    <definedName name="生产列5" localSheetId="6">#REF!</definedName>
    <definedName name="生产列5" localSheetId="9">#REF!</definedName>
    <definedName name="生产列5" localSheetId="16">#REF!</definedName>
    <definedName name="生产列5" localSheetId="17">#REF!</definedName>
    <definedName name="生产列5">#REF!</definedName>
    <definedName name="生产列6" localSheetId="6">#REF!</definedName>
    <definedName name="生产列6" localSheetId="9">#REF!</definedName>
    <definedName name="生产列6" localSheetId="16">#REF!</definedName>
    <definedName name="生产列6" localSheetId="17">#REF!</definedName>
    <definedName name="生产列6">#REF!</definedName>
    <definedName name="生产列7" localSheetId="6">#REF!</definedName>
    <definedName name="生产列7" localSheetId="9">#REF!</definedName>
    <definedName name="生产列7" localSheetId="16">#REF!</definedName>
    <definedName name="生产列7" localSheetId="17">#REF!</definedName>
    <definedName name="生产列7">#REF!</definedName>
    <definedName name="生产列8" localSheetId="6">#REF!</definedName>
    <definedName name="生产列8" localSheetId="9">#REF!</definedName>
    <definedName name="生产列8" localSheetId="16">#REF!</definedName>
    <definedName name="生产列8" localSheetId="17">#REF!</definedName>
    <definedName name="生产列8">#REF!</definedName>
    <definedName name="生产列9" localSheetId="6">#REF!</definedName>
    <definedName name="生产列9" localSheetId="9">#REF!</definedName>
    <definedName name="生产列9" localSheetId="16">#REF!</definedName>
    <definedName name="生产列9" localSheetId="17">#REF!</definedName>
    <definedName name="生产列9">#REF!</definedName>
    <definedName name="生产期" localSheetId="6">#REF!</definedName>
    <definedName name="生产期" localSheetId="9">#REF!</definedName>
    <definedName name="生产期" localSheetId="16">#REF!</definedName>
    <definedName name="生产期" localSheetId="17">#REF!</definedName>
    <definedName name="生产期">#REF!</definedName>
    <definedName name="生产期1" localSheetId="6">#REF!</definedName>
    <definedName name="生产期1" localSheetId="9">#REF!</definedName>
    <definedName name="生产期1" localSheetId="16">#REF!</definedName>
    <definedName name="生产期1" localSheetId="17">#REF!</definedName>
    <definedName name="生产期1">#REF!</definedName>
    <definedName name="生产期11" localSheetId="6">#REF!</definedName>
    <definedName name="生产期11" localSheetId="9">#REF!</definedName>
    <definedName name="生产期11" localSheetId="16">#REF!</definedName>
    <definedName name="生产期11" localSheetId="17">#REF!</definedName>
    <definedName name="生产期11">#REF!</definedName>
    <definedName name="生产期15" localSheetId="6">#REF!</definedName>
    <definedName name="生产期15" localSheetId="9">#REF!</definedName>
    <definedName name="生产期15" localSheetId="16">#REF!</definedName>
    <definedName name="生产期15" localSheetId="17">#REF!</definedName>
    <definedName name="生产期15">#REF!</definedName>
    <definedName name="生产期16" localSheetId="6">#REF!</definedName>
    <definedName name="生产期16" localSheetId="9">#REF!</definedName>
    <definedName name="生产期16" localSheetId="16">#REF!</definedName>
    <definedName name="生产期16" localSheetId="17">#REF!</definedName>
    <definedName name="生产期16">#REF!</definedName>
    <definedName name="生产期17" localSheetId="6">#REF!</definedName>
    <definedName name="生产期17" localSheetId="9">#REF!</definedName>
    <definedName name="生产期17" localSheetId="16">#REF!</definedName>
    <definedName name="生产期17" localSheetId="17">#REF!</definedName>
    <definedName name="生产期17">#REF!</definedName>
    <definedName name="生产期19" localSheetId="6">#REF!</definedName>
    <definedName name="生产期19" localSheetId="9">#REF!</definedName>
    <definedName name="生产期19" localSheetId="16">#REF!</definedName>
    <definedName name="生产期19" localSheetId="17">#REF!</definedName>
    <definedName name="生产期19">#REF!</definedName>
    <definedName name="生产期2" localSheetId="6">#REF!</definedName>
    <definedName name="生产期2" localSheetId="9">#REF!</definedName>
    <definedName name="生产期2" localSheetId="16">#REF!</definedName>
    <definedName name="生产期2" localSheetId="17">#REF!</definedName>
    <definedName name="生产期2">#REF!</definedName>
    <definedName name="生产期20" localSheetId="6">#REF!</definedName>
    <definedName name="生产期20" localSheetId="9">#REF!</definedName>
    <definedName name="生产期20" localSheetId="16">#REF!</definedName>
    <definedName name="生产期20" localSheetId="17">#REF!</definedName>
    <definedName name="生产期20">#REF!</definedName>
    <definedName name="生产期3" localSheetId="6">#REF!</definedName>
    <definedName name="生产期3" localSheetId="9">#REF!</definedName>
    <definedName name="生产期3" localSheetId="16">#REF!</definedName>
    <definedName name="生产期3" localSheetId="17">#REF!</definedName>
    <definedName name="生产期3">#REF!</definedName>
    <definedName name="生产期4" localSheetId="6">#REF!</definedName>
    <definedName name="生产期4" localSheetId="9">#REF!</definedName>
    <definedName name="生产期4" localSheetId="16">#REF!</definedName>
    <definedName name="生产期4" localSheetId="17">#REF!</definedName>
    <definedName name="生产期4">#REF!</definedName>
    <definedName name="生产期5" localSheetId="6">#REF!</definedName>
    <definedName name="生产期5" localSheetId="9">#REF!</definedName>
    <definedName name="生产期5" localSheetId="16">#REF!</definedName>
    <definedName name="生产期5" localSheetId="17">#REF!</definedName>
    <definedName name="生产期5">#REF!</definedName>
    <definedName name="生产期6" localSheetId="6">#REF!</definedName>
    <definedName name="生产期6" localSheetId="9">#REF!</definedName>
    <definedName name="生产期6" localSheetId="16">#REF!</definedName>
    <definedName name="生产期6" localSheetId="17">#REF!</definedName>
    <definedName name="生产期6">#REF!</definedName>
    <definedName name="生产期7" localSheetId="6">#REF!</definedName>
    <definedName name="生产期7" localSheetId="9">#REF!</definedName>
    <definedName name="生产期7" localSheetId="16">#REF!</definedName>
    <definedName name="生产期7" localSheetId="17">#REF!</definedName>
    <definedName name="生产期7">#REF!</definedName>
    <definedName name="生产期8" localSheetId="6">#REF!</definedName>
    <definedName name="生产期8" localSheetId="9">#REF!</definedName>
    <definedName name="生产期8" localSheetId="16">#REF!</definedName>
    <definedName name="生产期8" localSheetId="17">#REF!</definedName>
    <definedName name="生产期8">#REF!</definedName>
    <definedName name="生产期9" localSheetId="6">#REF!</definedName>
    <definedName name="生产期9" localSheetId="9">#REF!</definedName>
    <definedName name="生产期9" localSheetId="16">#REF!</definedName>
    <definedName name="生产期9" localSheetId="17">#REF!</definedName>
    <definedName name="生产期9">#REF!</definedName>
    <definedName name="体制上解" localSheetId="6">#REF!</definedName>
    <definedName name="体制上解" localSheetId="9">#REF!</definedName>
    <definedName name="体制上解" localSheetId="16">#REF!</definedName>
    <definedName name="体制上解" localSheetId="17">#REF!</definedName>
    <definedName name="体制上解">#REF!</definedName>
  </definedNames>
  <calcPr calcId="162913" fullPrecision="0"/>
</workbook>
</file>

<file path=xl/calcChain.xml><?xml version="1.0" encoding="utf-8"?>
<calcChain xmlns="http://schemas.openxmlformats.org/spreadsheetml/2006/main">
  <c r="C12" i="172" l="1"/>
  <c r="C35" i="37" l="1"/>
  <c r="B32" i="37"/>
  <c r="B29" i="37"/>
  <c r="B26" i="37"/>
  <c r="B23" i="37"/>
  <c r="B14" i="37" s="1"/>
  <c r="B20" i="37"/>
  <c r="B17" i="37"/>
  <c r="B16" i="37"/>
  <c r="B15" i="37"/>
  <c r="C32" i="37"/>
  <c r="C29" i="37"/>
  <c r="C26" i="37"/>
  <c r="C23" i="37"/>
  <c r="C20" i="37"/>
  <c r="C17" i="37"/>
  <c r="C14" i="37" s="1"/>
  <c r="C16" i="37"/>
  <c r="C15" i="37"/>
  <c r="B6" i="37"/>
  <c r="C6" i="37"/>
  <c r="B27" i="29"/>
  <c r="C25" i="29"/>
  <c r="B25" i="29"/>
  <c r="B21" i="29"/>
  <c r="D22" i="166" l="1"/>
  <c r="D23" i="166"/>
  <c r="C22" i="166" l="1"/>
  <c r="B22" i="166"/>
  <c r="B80" i="24"/>
  <c r="B58" i="24"/>
  <c r="C80" i="24"/>
  <c r="C76" i="24" s="1"/>
  <c r="C73" i="24"/>
  <c r="C68" i="24"/>
  <c r="C65" i="24"/>
  <c r="C60" i="24"/>
  <c r="C58" i="24"/>
  <c r="C57" i="24"/>
  <c r="C56" i="24"/>
  <c r="C51" i="24" s="1"/>
  <c r="C48" i="24"/>
  <c r="C44" i="24"/>
  <c r="C42" i="24"/>
  <c r="C41" i="24"/>
  <c r="C38" i="24"/>
  <c r="C37" i="24"/>
  <c r="C28" i="24"/>
  <c r="C27" i="24"/>
  <c r="C24" i="24"/>
  <c r="C23" i="24"/>
  <c r="C22" i="24" s="1"/>
  <c r="C21" i="24"/>
  <c r="C11" i="24"/>
  <c r="C7" i="24"/>
  <c r="C6" i="24"/>
  <c r="B20" i="23"/>
  <c r="B15" i="23"/>
  <c r="D17" i="23"/>
  <c r="C18" i="23"/>
  <c r="C7" i="23"/>
  <c r="C286" i="22" l="1"/>
  <c r="C226" i="22"/>
  <c r="C402" i="22"/>
  <c r="C410" i="22"/>
  <c r="C412" i="22"/>
  <c r="C413" i="22"/>
  <c r="C411" i="22"/>
  <c r="C387" i="22"/>
  <c r="C399" i="22"/>
  <c r="C401" i="22"/>
  <c r="C354" i="22"/>
  <c r="C381" i="22"/>
  <c r="C383" i="22"/>
  <c r="C379" i="22"/>
  <c r="C380" i="22"/>
  <c r="C369" i="22"/>
  <c r="C371" i="22"/>
  <c r="C355" i="22"/>
  <c r="C361" i="22"/>
  <c r="C336" i="22"/>
  <c r="C348" i="22"/>
  <c r="C349" i="22"/>
  <c r="C344" i="22"/>
  <c r="C345" i="22"/>
  <c r="C319" i="22"/>
  <c r="C320" i="22"/>
  <c r="C304" i="22"/>
  <c r="C307" i="22"/>
  <c r="C306" i="22"/>
  <c r="C297" i="22"/>
  <c r="C302" i="22"/>
  <c r="C295" i="22"/>
  <c r="C290" i="22"/>
  <c r="C284" i="22"/>
  <c r="C285" i="22"/>
  <c r="C277" i="22"/>
  <c r="C279" i="22"/>
  <c r="C268" i="22"/>
  <c r="C265" i="22"/>
  <c r="C259" i="22"/>
  <c r="C254" i="22"/>
  <c r="C255" i="22"/>
  <c r="C247" i="22"/>
  <c r="C250" i="22"/>
  <c r="C248" i="22"/>
  <c r="C227" i="22"/>
  <c r="C194" i="22"/>
  <c r="C223" i="22"/>
  <c r="C225" i="22"/>
  <c r="C219" i="22"/>
  <c r="C222" i="22"/>
  <c r="C208" i="22"/>
  <c r="C212" i="22"/>
  <c r="C205" i="22"/>
  <c r="C207" i="22"/>
  <c r="C206" i="22"/>
  <c r="C195" i="22"/>
  <c r="C204" i="22"/>
  <c r="C200" i="22"/>
  <c r="C177" i="22"/>
  <c r="C187" i="22"/>
  <c r="C190" i="22"/>
  <c r="C153" i="22"/>
  <c r="C175" i="22"/>
  <c r="C176" i="22"/>
  <c r="C168" i="22"/>
  <c r="C169" i="22"/>
  <c r="C164" i="22"/>
  <c r="C163" i="22"/>
  <c r="C157" i="22"/>
  <c r="C162" i="22"/>
  <c r="C161" i="22"/>
  <c r="C159" i="22"/>
  <c r="C158" i="22"/>
  <c r="C122" i="22"/>
  <c r="C125" i="22"/>
  <c r="C132" i="22"/>
  <c r="C142" i="22"/>
  <c r="C151" i="22"/>
  <c r="C152" i="22"/>
  <c r="C150" i="22"/>
  <c r="C144" i="22"/>
  <c r="C148" i="22"/>
  <c r="C147" i="22"/>
  <c r="C126" i="22"/>
  <c r="C5" i="22"/>
  <c r="C95" i="22"/>
  <c r="C97" i="22"/>
  <c r="C77" i="22"/>
  <c r="C80" i="22"/>
  <c r="C63" i="22"/>
  <c r="C65" i="22"/>
  <c r="C45" i="22"/>
  <c r="C18" i="22"/>
  <c r="C23" i="22"/>
  <c r="C19" i="22"/>
  <c r="C22" i="19" l="1"/>
  <c r="B22" i="19"/>
  <c r="D23" i="29" l="1"/>
  <c r="D22" i="29"/>
  <c r="D14" i="29"/>
  <c r="D13" i="29"/>
  <c r="D12" i="29"/>
  <c r="D11" i="29"/>
  <c r="D10" i="29"/>
  <c r="D9" i="29"/>
  <c r="D8" i="29"/>
  <c r="D63" i="24" l="1"/>
  <c r="D61" i="24"/>
  <c r="D55" i="24"/>
  <c r="D52" i="24"/>
  <c r="D46" i="24"/>
  <c r="D39" i="24"/>
  <c r="D20" i="24"/>
  <c r="D19" i="24"/>
  <c r="D18" i="24"/>
  <c r="D17" i="24"/>
  <c r="D16" i="24"/>
  <c r="D15" i="24"/>
  <c r="D14" i="24"/>
  <c r="D13" i="24"/>
  <c r="D12" i="24"/>
  <c r="D10" i="24"/>
  <c r="D9" i="24"/>
  <c r="D10" i="173" l="1"/>
  <c r="D9" i="173"/>
  <c r="D8" i="173"/>
  <c r="D7" i="173"/>
  <c r="D6" i="173"/>
  <c r="C5" i="173"/>
  <c r="B5" i="173"/>
  <c r="D5" i="173" l="1"/>
  <c r="C8" i="172"/>
  <c r="C12" i="171"/>
  <c r="C8" i="171"/>
  <c r="D19" i="23" l="1"/>
  <c r="D16" i="23"/>
  <c r="D10" i="23"/>
  <c r="D6" i="23"/>
  <c r="D74" i="24"/>
  <c r="D69" i="24"/>
  <c r="D17" i="166"/>
  <c r="D14" i="166"/>
  <c r="D13" i="166"/>
  <c r="D11" i="166"/>
  <c r="D10" i="166"/>
  <c r="D9" i="166"/>
  <c r="D20" i="29"/>
  <c r="D19" i="29"/>
  <c r="D18" i="29"/>
  <c r="D17" i="29"/>
  <c r="D16" i="29"/>
  <c r="D15" i="29"/>
  <c r="D17" i="32"/>
  <c r="D13" i="32"/>
  <c r="D34" i="33"/>
  <c r="D25" i="33"/>
  <c r="D24" i="33"/>
  <c r="D23" i="33"/>
  <c r="D15" i="33"/>
  <c r="D14" i="33"/>
  <c r="D5" i="33"/>
  <c r="B11" i="37" l="1"/>
  <c r="B5" i="37"/>
  <c r="C11" i="37"/>
  <c r="C5" i="37" s="1"/>
  <c r="C39" i="36"/>
  <c r="B39" i="36"/>
  <c r="C36" i="36"/>
  <c r="B36" i="36"/>
  <c r="C33" i="36"/>
  <c r="B33" i="36"/>
  <c r="C30" i="36"/>
  <c r="B30" i="36"/>
  <c r="C27" i="36"/>
  <c r="B27" i="36"/>
  <c r="C24" i="36"/>
  <c r="B24" i="36"/>
  <c r="C15" i="36"/>
  <c r="B15" i="36"/>
  <c r="C11" i="36"/>
  <c r="B11" i="36"/>
  <c r="C6" i="36"/>
  <c r="B6" i="36"/>
  <c r="D10" i="37"/>
  <c r="D7" i="29"/>
  <c r="B6" i="29"/>
  <c r="D33" i="36" l="1"/>
  <c r="D24" i="36"/>
  <c r="D36" i="36"/>
  <c r="B5" i="36"/>
  <c r="D6" i="36"/>
  <c r="D39" i="36"/>
  <c r="D30" i="36"/>
  <c r="D27" i="36"/>
  <c r="C21" i="36"/>
  <c r="D15" i="36"/>
  <c r="C5" i="36"/>
  <c r="C6" i="29"/>
  <c r="C5" i="29" s="1"/>
  <c r="B5" i="29"/>
  <c r="B35" i="37"/>
  <c r="D29" i="37"/>
  <c r="D20" i="37"/>
  <c r="D11" i="37"/>
  <c r="D32" i="37"/>
  <c r="D23" i="37"/>
  <c r="D17" i="37"/>
  <c r="D26" i="37"/>
  <c r="D5" i="37"/>
  <c r="D6" i="37"/>
  <c r="D11" i="36"/>
  <c r="B21" i="36"/>
  <c r="C42" i="36" l="1"/>
  <c r="D21" i="36"/>
  <c r="D5" i="36"/>
  <c r="D5" i="29"/>
  <c r="D6" i="29"/>
  <c r="B42" i="36"/>
  <c r="D14" i="37"/>
  <c r="D35" i="37"/>
  <c r="D42" i="36" l="1"/>
  <c r="C20" i="166"/>
  <c r="C28" i="166" s="1"/>
  <c r="B20" i="166"/>
  <c r="D20" i="166" l="1"/>
  <c r="B28" i="166"/>
  <c r="D28" i="166" s="1"/>
  <c r="D56" i="24"/>
  <c r="D38" i="24"/>
  <c r="D7" i="24"/>
  <c r="B48" i="24" l="1"/>
  <c r="D80" i="24" l="1"/>
  <c r="D21" i="24"/>
  <c r="D20" i="23"/>
  <c r="D14" i="23"/>
  <c r="D15" i="23"/>
  <c r="D7" i="23" l="1"/>
  <c r="D58" i="24"/>
  <c r="D47" i="24"/>
  <c r="D23" i="24"/>
  <c r="D8" i="23"/>
  <c r="D11" i="23"/>
  <c r="D12" i="23"/>
  <c r="D18" i="23"/>
  <c r="D24" i="24" l="1"/>
  <c r="D8" i="24"/>
  <c r="C5" i="24"/>
  <c r="C5" i="23"/>
  <c r="C33" i="19" l="1"/>
  <c r="C5" i="19" l="1"/>
  <c r="C31" i="19" s="1"/>
  <c r="C44" i="19" s="1"/>
  <c r="D480" i="22" l="1"/>
  <c r="D481" i="22"/>
  <c r="D483" i="22"/>
  <c r="D484" i="22"/>
  <c r="D485" i="22"/>
  <c r="D486" i="22"/>
  <c r="D487" i="22"/>
  <c r="D488" i="22"/>
  <c r="D489" i="22"/>
  <c r="D490" i="22"/>
  <c r="D491" i="22"/>
  <c r="D492" i="22"/>
  <c r="D493" i="22"/>
  <c r="D494" i="22"/>
  <c r="D495" i="22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30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4" i="19"/>
  <c r="D35" i="19"/>
  <c r="D36" i="19"/>
  <c r="D37" i="19"/>
  <c r="D38" i="19"/>
  <c r="D39" i="19"/>
  <c r="D40" i="19"/>
  <c r="D41" i="19"/>
  <c r="D42" i="19"/>
  <c r="D43" i="19"/>
  <c r="D6" i="19"/>
  <c r="D7" i="19"/>
  <c r="D8" i="19"/>
  <c r="B65" i="24"/>
  <c r="B76" i="24"/>
  <c r="D76" i="24" s="1"/>
  <c r="B73" i="24"/>
  <c r="D73" i="24" s="1"/>
  <c r="B68" i="24"/>
  <c r="D68" i="24" s="1"/>
  <c r="B60" i="24"/>
  <c r="D60" i="24" s="1"/>
  <c r="B57" i="24"/>
  <c r="D57" i="24" s="1"/>
  <c r="B51" i="24"/>
  <c r="D51" i="24" s="1"/>
  <c r="B44" i="24"/>
  <c r="D44" i="24" s="1"/>
  <c r="B41" i="24"/>
  <c r="D41" i="24" s="1"/>
  <c r="B37" i="24"/>
  <c r="D37" i="24" s="1"/>
  <c r="B22" i="24"/>
  <c r="D22" i="24" s="1"/>
  <c r="B11" i="24"/>
  <c r="D11" i="24" s="1"/>
  <c r="B6" i="24"/>
  <c r="D6" i="24" s="1"/>
  <c r="B5" i="23" l="1"/>
  <c r="D5" i="23" s="1"/>
  <c r="C31" i="21"/>
  <c r="C482" i="22"/>
  <c r="C29" i="21"/>
  <c r="C31" i="33"/>
  <c r="B31" i="33"/>
  <c r="C14" i="32"/>
  <c r="B14" i="32"/>
  <c r="C21" i="29"/>
  <c r="B482" i="22"/>
  <c r="B496" i="22" s="1"/>
  <c r="B31" i="21"/>
  <c r="B29" i="21"/>
  <c r="B33" i="19"/>
  <c r="D33" i="19" s="1"/>
  <c r="B5" i="19"/>
  <c r="D5" i="19" s="1"/>
  <c r="D31" i="33" l="1"/>
  <c r="D14" i="32"/>
  <c r="D21" i="29"/>
  <c r="C33" i="29"/>
  <c r="D482" i="22"/>
  <c r="C496" i="22"/>
  <c r="D496" i="22" s="1"/>
  <c r="B45" i="21"/>
  <c r="D31" i="21"/>
  <c r="D29" i="21"/>
  <c r="C45" i="21"/>
  <c r="B31" i="19"/>
  <c r="D45" i="21" l="1"/>
  <c r="D31" i="19"/>
  <c r="B44" i="19"/>
  <c r="D44" i="19" s="1"/>
  <c r="D293" i="22"/>
  <c r="D272" i="22"/>
  <c r="D185" i="22"/>
  <c r="D262" i="22"/>
  <c r="D273" i="22"/>
  <c r="D232" i="22"/>
  <c r="D318" i="22"/>
  <c r="D408" i="22"/>
  <c r="D365" i="22"/>
  <c r="D62" i="22"/>
  <c r="D275" i="22"/>
  <c r="D246" i="22"/>
  <c r="D174" i="22"/>
  <c r="D276" i="22"/>
  <c r="D253" i="22"/>
  <c r="D264" i="22"/>
  <c r="B5" i="24"/>
  <c r="D5" i="24" s="1"/>
  <c r="B33" i="29" l="1"/>
  <c r="D33" i="29" s="1"/>
  <c r="D25" i="29"/>
  <c r="D308" i="22"/>
  <c r="D169" i="22"/>
  <c r="D416" i="22"/>
  <c r="D414" i="22"/>
  <c r="D72" i="22"/>
  <c r="D52" i="22"/>
  <c r="D332" i="22"/>
  <c r="D199" i="22"/>
  <c r="D66" i="22"/>
  <c r="D86" i="22"/>
  <c r="D277" i="22"/>
  <c r="D6" i="22"/>
  <c r="D37" i="22"/>
  <c r="D310" i="22"/>
  <c r="D143" i="22"/>
  <c r="D137" i="22"/>
  <c r="D425" i="22"/>
  <c r="D373" i="22"/>
  <c r="D200" i="22"/>
  <c r="D367" i="22"/>
  <c r="D228" i="22"/>
  <c r="D5" i="22"/>
  <c r="D291" i="22"/>
  <c r="D36" i="22"/>
  <c r="D327" i="22"/>
  <c r="D40" i="22"/>
  <c r="D43" i="22"/>
  <c r="D13" i="22"/>
  <c r="D389" i="22"/>
  <c r="D375" i="22"/>
  <c r="D173" i="22"/>
  <c r="D74" i="22"/>
  <c r="D379" i="22"/>
  <c r="D198" i="22"/>
  <c r="D396" i="22"/>
  <c r="D207" i="22"/>
  <c r="D124" i="22"/>
  <c r="D131" i="22"/>
  <c r="D248" i="22"/>
  <c r="D25" i="22"/>
  <c r="D236" i="22"/>
  <c r="D18" i="22"/>
  <c r="D41" i="22"/>
  <c r="D227" i="22"/>
  <c r="D368" i="22"/>
  <c r="D409" i="22"/>
  <c r="D60" i="22"/>
  <c r="D118" i="22"/>
  <c r="D354" i="22"/>
  <c r="D311" i="22"/>
  <c r="D359" i="22"/>
  <c r="D401" i="22"/>
  <c r="D152" i="22"/>
  <c r="D156" i="22"/>
  <c r="D377" i="22"/>
  <c r="D99" i="22"/>
  <c r="D281" i="22"/>
  <c r="D90" i="22"/>
  <c r="D54" i="22"/>
  <c r="D153" i="22"/>
  <c r="D300" i="22"/>
  <c r="D372" i="22"/>
  <c r="D172" i="22"/>
  <c r="D216" i="22"/>
  <c r="D14" i="22"/>
  <c r="D119" i="22"/>
  <c r="D204" i="22"/>
  <c r="D313" i="22"/>
  <c r="D304" i="22"/>
  <c r="D107" i="22"/>
  <c r="D398" i="22"/>
  <c r="D209" i="22"/>
  <c r="D29" i="22"/>
  <c r="D419" i="22"/>
  <c r="D112" i="22"/>
  <c r="D231" i="22"/>
  <c r="D345" i="22"/>
  <c r="D393" i="22"/>
  <c r="D316" i="22"/>
  <c r="D362" i="22"/>
  <c r="D50" i="22"/>
  <c r="D162" i="22"/>
  <c r="D184" i="22"/>
  <c r="D410" i="22"/>
  <c r="D338" i="22"/>
  <c r="D237" i="22"/>
  <c r="D45" i="22"/>
  <c r="D391" i="22"/>
  <c r="D218" i="22"/>
  <c r="D154" i="22"/>
  <c r="D415" i="22"/>
  <c r="D115" i="22"/>
  <c r="D286" i="22"/>
  <c r="D190" i="22"/>
  <c r="D390" i="22"/>
  <c r="D299" i="22"/>
  <c r="D341" i="22"/>
  <c r="D284" i="22"/>
  <c r="D183" i="22"/>
  <c r="D38" i="22"/>
  <c r="D256" i="22"/>
  <c r="D339" i="22"/>
  <c r="D285" i="22"/>
  <c r="D149" i="22"/>
  <c r="D233" i="22"/>
  <c r="D147" i="22"/>
  <c r="D73" i="22"/>
  <c r="D325" i="22"/>
  <c r="D383" i="22"/>
  <c r="D81" i="22"/>
  <c r="D76" i="22"/>
  <c r="D357" i="22"/>
  <c r="D394" i="22"/>
  <c r="D317" i="22"/>
  <c r="D46" i="22"/>
  <c r="D58" i="22"/>
  <c r="D388" i="22"/>
  <c r="D255" i="22"/>
  <c r="D160" i="22"/>
  <c r="D85" i="22"/>
  <c r="D258" i="22"/>
  <c r="D350" i="22"/>
  <c r="D356" i="22"/>
  <c r="D57" i="22"/>
  <c r="D323" i="22"/>
  <c r="D28" i="22"/>
  <c r="D349" i="22"/>
  <c r="D347" i="22"/>
  <c r="D139" i="22"/>
  <c r="D108" i="22"/>
  <c r="D386" i="22"/>
  <c r="D279" i="22"/>
  <c r="D374" i="22"/>
  <c r="D33" i="22"/>
  <c r="D89" i="22"/>
  <c r="D364" i="22"/>
  <c r="D294" i="22"/>
  <c r="D195" i="22"/>
  <c r="D220" i="22"/>
  <c r="D312" i="22"/>
  <c r="D39" i="22"/>
  <c r="D127" i="22"/>
  <c r="D413" i="22"/>
  <c r="D92" i="22"/>
  <c r="D250" i="22"/>
  <c r="D251" i="22"/>
  <c r="D298" i="22"/>
  <c r="D77" i="22"/>
  <c r="D283" i="22"/>
  <c r="D163" i="22"/>
  <c r="D309" i="22"/>
  <c r="D340" i="22"/>
  <c r="D129" i="22"/>
  <c r="D64" i="22"/>
  <c r="D271" i="22"/>
  <c r="D235" i="22"/>
  <c r="D122" i="22"/>
  <c r="D193" i="22"/>
  <c r="D132" i="22"/>
  <c r="D67" i="22"/>
  <c r="D69" i="22"/>
  <c r="D336" i="22"/>
  <c r="D381" i="22"/>
  <c r="D205" i="22"/>
  <c r="D102" i="22"/>
  <c r="D278" i="22"/>
  <c r="D59" i="22"/>
  <c r="D342" i="22"/>
  <c r="D403" i="22"/>
  <c r="D34" i="22"/>
  <c r="D19" i="22"/>
  <c r="D230" i="22"/>
  <c r="D144" i="22"/>
  <c r="D189" i="22"/>
  <c r="D306" i="22"/>
  <c r="D100" i="22"/>
  <c r="D239" i="22"/>
  <c r="D15" i="22"/>
  <c r="D260" i="22"/>
  <c r="D93" i="22"/>
  <c r="D196" i="22"/>
  <c r="D103" i="22"/>
  <c r="D178" i="22"/>
  <c r="D355" i="22"/>
  <c r="D417" i="22"/>
  <c r="D315" i="22"/>
  <c r="D22" i="22"/>
  <c r="D378" i="22"/>
  <c r="D120" i="22"/>
  <c r="D158" i="22"/>
  <c r="D210" i="22"/>
  <c r="D63" i="22"/>
  <c r="D307" i="22"/>
  <c r="D167" i="22"/>
  <c r="D234" i="22"/>
  <c r="D265" i="22"/>
  <c r="D53" i="22"/>
  <c r="D49" i="22"/>
  <c r="D23" i="22"/>
  <c r="D320" i="22"/>
  <c r="D333" i="22"/>
  <c r="D406" i="22"/>
  <c r="D203" i="22"/>
  <c r="D302" i="22"/>
  <c r="D48" i="22"/>
  <c r="D343" i="22"/>
  <c r="D268" i="22"/>
  <c r="D164" i="22"/>
  <c r="D348" i="22"/>
  <c r="D26" i="22"/>
  <c r="D35" i="22"/>
  <c r="D111" i="22"/>
  <c r="D148" i="22"/>
  <c r="D187" i="22"/>
  <c r="D155" i="22"/>
  <c r="D42" i="22"/>
  <c r="D266" i="22"/>
  <c r="D194" i="22"/>
  <c r="D353" i="22"/>
  <c r="D71" i="22"/>
  <c r="D88" i="22"/>
  <c r="D16" i="22"/>
  <c r="D101" i="22"/>
  <c r="D329" i="22"/>
  <c r="D9" i="22"/>
  <c r="D180" i="22"/>
  <c r="D134" i="22"/>
  <c r="D222" i="22"/>
  <c r="D352" i="22"/>
  <c r="D121" i="22"/>
  <c r="D91" i="22"/>
  <c r="D344" i="22"/>
  <c r="D418" i="22"/>
  <c r="D326" i="22"/>
  <c r="D104" i="22"/>
  <c r="D32" i="22"/>
  <c r="D252" i="22"/>
  <c r="D254" i="22"/>
  <c r="D95" i="22"/>
  <c r="D138" i="22"/>
  <c r="D151" i="22"/>
  <c r="D219" i="22"/>
  <c r="D135" i="22"/>
  <c r="D395" i="22"/>
  <c r="D12" i="22"/>
  <c r="D123" i="22"/>
  <c r="D321" i="22"/>
  <c r="D243" i="22"/>
  <c r="D159" i="22"/>
  <c r="D208" i="22"/>
  <c r="D30" i="22"/>
  <c r="D201" i="22"/>
  <c r="D116" i="22"/>
  <c r="D392" i="22"/>
  <c r="D297" i="22"/>
  <c r="D301" i="22"/>
  <c r="D270" i="22"/>
  <c r="D211" i="22"/>
  <c r="D424" i="22"/>
  <c r="D98" i="22"/>
  <c r="D330" i="22"/>
  <c r="D177" i="22"/>
  <c r="D75" i="22"/>
  <c r="D351" i="22"/>
  <c r="D287" i="22"/>
  <c r="D405" i="22"/>
  <c r="D128" i="22"/>
  <c r="D133" i="22"/>
  <c r="D150" i="22"/>
  <c r="D384" i="22"/>
  <c r="D397" i="22"/>
  <c r="D245" i="22"/>
  <c r="D305" i="22"/>
  <c r="D83" i="22"/>
  <c r="D289" i="22"/>
  <c r="D370" i="22"/>
  <c r="D303" i="22"/>
  <c r="D51" i="22"/>
  <c r="D240" i="22"/>
  <c r="D224" i="22"/>
  <c r="D213" i="22"/>
  <c r="D114" i="22"/>
  <c r="D261" i="22"/>
  <c r="D186" i="22"/>
  <c r="D242" i="22"/>
  <c r="D17" i="22"/>
  <c r="D142" i="22"/>
  <c r="D263" i="22"/>
  <c r="D161" i="22"/>
  <c r="D197" i="22"/>
  <c r="D84" i="22"/>
  <c r="D412" i="22"/>
  <c r="D55" i="22"/>
  <c r="D11" i="22"/>
  <c r="D407" i="22"/>
  <c r="D188" i="22"/>
  <c r="D31" i="22"/>
  <c r="D97" i="22"/>
  <c r="D361" i="22"/>
  <c r="D20" i="22"/>
  <c r="D175" i="22"/>
  <c r="D130" i="22"/>
  <c r="D21" i="22"/>
  <c r="D171" i="22"/>
  <c r="D68" i="22"/>
  <c r="D420" i="22"/>
  <c r="D87" i="22"/>
  <c r="D280" i="22"/>
  <c r="D366" i="22"/>
  <c r="D70" i="22"/>
  <c r="D7" i="22"/>
  <c r="D292" i="22"/>
  <c r="D146" i="22"/>
  <c r="D117" i="22"/>
  <c r="D179" i="22"/>
  <c r="D404" i="22"/>
  <c r="D141" i="22"/>
  <c r="D319" i="22"/>
  <c r="D363" i="22"/>
  <c r="D140" i="22"/>
  <c r="D8" i="22"/>
  <c r="D113" i="22"/>
  <c r="D267" i="22"/>
  <c r="D125" i="22"/>
  <c r="D282" i="22"/>
  <c r="D215" i="22"/>
  <c r="D221" i="22"/>
  <c r="D157" i="22"/>
  <c r="D79" i="22"/>
  <c r="D61" i="22"/>
  <c r="D168" i="22"/>
  <c r="D241" i="22"/>
  <c r="D110" i="22"/>
  <c r="D257" i="22"/>
  <c r="D376" i="22"/>
  <c r="D269" i="22"/>
  <c r="D324" i="22"/>
  <c r="D360" i="22"/>
  <c r="D411" i="22"/>
  <c r="D176" i="22"/>
  <c r="D44" i="22"/>
  <c r="D126" i="22"/>
  <c r="D369" i="22"/>
  <c r="D295" i="22"/>
  <c r="D10" i="22"/>
  <c r="D335" i="22"/>
  <c r="D288" i="22"/>
  <c r="D400" i="22"/>
  <c r="D214" i="22"/>
  <c r="D202" i="22"/>
  <c r="D244" i="22"/>
  <c r="D94" i="22"/>
  <c r="D259" i="22"/>
  <c r="D331" i="22"/>
  <c r="D181" i="22"/>
  <c r="D27" i="22"/>
  <c r="D382" i="22"/>
  <c r="D105" i="22"/>
  <c r="D399" i="22"/>
  <c r="D47" i="22"/>
  <c r="D421" i="22"/>
  <c r="D423" i="22"/>
  <c r="D106" i="22"/>
  <c r="D217" i="22"/>
  <c r="D334" i="22"/>
  <c r="D358" i="22"/>
  <c r="D387" i="22"/>
  <c r="D247" i="22"/>
  <c r="D346" i="22"/>
  <c r="D385" i="22"/>
  <c r="D223" i="22"/>
  <c r="D402" i="22"/>
  <c r="D322" i="22"/>
  <c r="D290" i="22"/>
  <c r="D380" i="22"/>
  <c r="D165" i="22"/>
  <c r="D78" i="22"/>
  <c r="D65" i="22"/>
  <c r="D166" i="22"/>
  <c r="D192" i="22"/>
  <c r="D249" i="22"/>
  <c r="D109" i="22"/>
  <c r="D96" i="22"/>
  <c r="D170" i="22"/>
  <c r="D24" i="22"/>
  <c r="D371" i="22"/>
  <c r="D225" i="22"/>
  <c r="D337" i="22"/>
  <c r="D182" i="22"/>
  <c r="D80" i="22"/>
  <c r="D274" i="22"/>
  <c r="D136" i="22"/>
  <c r="D226" i="22"/>
  <c r="D422" i="22"/>
  <c r="D56" i="22"/>
  <c r="D296" i="22"/>
  <c r="D328" i="22"/>
  <c r="D206" i="22"/>
  <c r="D314" i="22"/>
  <c r="D229" i="22"/>
  <c r="D191" i="22"/>
  <c r="D212" i="22"/>
  <c r="D238" i="22"/>
  <c r="D145" i="22"/>
  <c r="D82" i="22"/>
</calcChain>
</file>

<file path=xl/sharedStrings.xml><?xml version="1.0" encoding="utf-8"?>
<sst xmlns="http://schemas.openxmlformats.org/spreadsheetml/2006/main" count="1118" uniqueCount="885">
  <si>
    <t>1、</t>
  </si>
  <si>
    <t>2、</t>
  </si>
  <si>
    <t>3、</t>
  </si>
  <si>
    <t>4、</t>
  </si>
  <si>
    <t>一、税收收入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</si>
  <si>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</si>
  <si>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</si>
  <si>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</si>
  <si>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</si>
  <si>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</si>
  <si>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</si>
  <si>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</si>
  <si>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</si>
  <si>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</si>
  <si>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</si>
  <si>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</si>
  <si>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</si>
  <si>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</si>
  <si>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</si>
  <si>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</si>
  <si>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</si>
  <si>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</si>
  <si>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</si>
  <si>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</si>
  <si>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</si>
  <si>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</si>
  <si>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</si>
  <si>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</si>
  <si>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</si>
  <si>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</si>
  <si>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</si>
  <si>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</si>
  <si>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</si>
  <si>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</si>
  <si>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</si>
  <si>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</si>
  <si>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</si>
  <si>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</si>
  <si>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</si>
  <si>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</si>
  <si>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</si>
  <si>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</si>
  <si>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</si>
  <si>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</si>
  <si>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</si>
  <si>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</si>
  <si>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</si>
  <si>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</si>
  <si>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</si>
  <si>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</si>
  <si>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</si>
  <si>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</si>
  <si>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</si>
  <si>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</si>
  <si>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</si>
  <si>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t>项目</t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</si>
  <si>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</si>
  <si>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</si>
  <si>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</si>
  <si>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</si>
  <si>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</si>
  <si>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</si>
  <si>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</si>
  <si>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</si>
  <si>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</si>
  <si>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</si>
  <si>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</si>
  <si>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</si>
  <si>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</si>
  <si>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</si>
  <si>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</si>
  <si>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</si>
  <si>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</si>
  <si>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</si>
  <si>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</si>
  <si>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</si>
  <si>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项　目</t>
  </si>
  <si>
    <t>项      目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</si>
  <si>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</si>
  <si>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</si>
  <si>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</si>
  <si>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</si>
  <si>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</si>
  <si>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</si>
  <si>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</si>
  <si>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</si>
  <si>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</si>
  <si>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</si>
  <si>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</si>
  <si>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</si>
  <si>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</si>
  <si>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</si>
  <si>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</si>
  <si>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</si>
  <si>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</si>
  <si>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</si>
  <si>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</si>
  <si>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</si>
  <si>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</si>
  <si>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</si>
  <si>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</si>
  <si>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</si>
  <si>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</si>
  <si>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</si>
  <si>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</si>
  <si>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</si>
  <si>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</si>
  <si>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</si>
  <si>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</si>
  <si>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</si>
  <si>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</si>
  <si>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</si>
  <si>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</si>
  <si>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>调出资金</t>
  </si>
  <si>
    <t>年终结余</t>
  </si>
  <si>
    <t xml:space="preserve">   上级补助收入</t>
    <phoneticPr fontId="37" type="noConversion"/>
  </si>
  <si>
    <t>补助下级支出</t>
  </si>
  <si>
    <t>上解上级支出</t>
  </si>
  <si>
    <t>××地区</t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</si>
  <si>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</si>
  <si>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</si>
  <si>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</si>
  <si>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</si>
  <si>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</si>
  <si>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</si>
  <si>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</si>
  <si>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</si>
  <si>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</si>
  <si>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</si>
  <si>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</si>
  <si>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</si>
  <si>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</si>
  <si>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</si>
  <si>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</si>
  <si>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</si>
  <si>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</si>
  <si>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</si>
  <si>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</si>
  <si>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</si>
  <si>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</si>
  <si>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</si>
  <si>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</si>
  <si>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</si>
  <si>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</si>
  <si>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</si>
  <si>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</si>
  <si>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</si>
  <si>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</si>
  <si>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</si>
  <si>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××地区</t>
    <phoneticPr fontId="37" type="noConversion"/>
  </si>
  <si>
    <t>工资福利支出</t>
  </si>
  <si>
    <t>商品和服务支出</t>
  </si>
  <si>
    <t>其他资本性支出</t>
  </si>
  <si>
    <t>其他支出</t>
  </si>
  <si>
    <t>……</t>
    <phoneticPr fontId="37" type="noConversion"/>
  </si>
  <si>
    <t>小计</t>
    <phoneticPr fontId="37" type="noConversion"/>
  </si>
  <si>
    <t>债务还本支出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</si>
  <si>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</si>
  <si>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</si>
  <si>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省、市、县</t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</si>
  <si>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</si>
  <si>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</si>
  <si>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</si>
  <si>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</si>
  <si>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</si>
  <si>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</si>
  <si>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</si>
  <si>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</si>
  <si>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</si>
  <si>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</si>
  <si>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</si>
  <si>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</si>
  <si>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</si>
  <si>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</si>
  <si>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</si>
  <si>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</si>
  <si>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</si>
  <si>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</si>
  <si>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</si>
  <si>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</si>
  <si>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</si>
  <si>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</si>
  <si>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</si>
  <si>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</si>
  <si>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</si>
  <si>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</si>
  <si>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</si>
  <si>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</si>
  <si>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</si>
  <si>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</si>
  <si>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</si>
  <si>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</si>
  <si>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</si>
  <si>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</si>
  <si>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</si>
  <si>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</si>
  <si>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</si>
  <si>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</si>
  <si>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</si>
  <si>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</si>
  <si>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</si>
  <si>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</si>
  <si>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</si>
  <si>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</si>
  <si>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</si>
  <si>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</si>
  <si>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</si>
  <si>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</si>
  <si>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</si>
  <si>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</si>
  <si>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</si>
  <si>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</si>
  <si>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</si>
  <si>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</si>
  <si>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</si>
  <si>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</si>
  <si>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</si>
  <si>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</si>
  <si>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</si>
  <si>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</si>
  <si>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</si>
  <si>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</si>
  <si>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</si>
  <si>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</si>
  <si>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</si>
  <si>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上年执行数(或上年预算数)</t>
    <phoneticPr fontId="37" type="noConversion"/>
  </si>
  <si>
    <t xml:space="preserve">    消费税</t>
    <phoneticPr fontId="37" type="noConversion"/>
  </si>
  <si>
    <t>归属级次</t>
    <phoneticPr fontId="37" type="noConversion"/>
  </si>
  <si>
    <t>省、市、县</t>
    <phoneticPr fontId="37" type="noConversion"/>
  </si>
  <si>
    <t>当年预算数为上年执行数(或上年预算数)的％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</si>
  <si>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</si>
  <si>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</si>
  <si>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</si>
  <si>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</si>
  <si>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</si>
  <si>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</si>
  <si>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</si>
  <si>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</si>
  <si>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</si>
  <si>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</si>
  <si>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</si>
  <si>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</si>
  <si>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</si>
  <si>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</si>
  <si>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</si>
  <si>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</si>
  <si>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</si>
  <si>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</si>
  <si>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</si>
  <si>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</si>
  <si>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支出小计</t>
    <phoneticPr fontId="37" type="noConversion"/>
  </si>
  <si>
    <t>支出合计</t>
    <phoneticPr fontId="37" type="noConversion"/>
  </si>
  <si>
    <t xml:space="preserve">   上解支出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</si>
  <si>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</si>
  <si>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</si>
  <si>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</si>
  <si>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</si>
  <si>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</si>
  <si>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</si>
  <si>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</si>
  <si>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</si>
  <si>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</si>
  <si>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</si>
  <si>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</si>
  <si>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</si>
  <si>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</si>
  <si>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</si>
  <si>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</si>
  <si>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</si>
  <si>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</si>
  <si>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</si>
  <si>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</si>
  <si>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</si>
  <si>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</si>
  <si>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</si>
  <si>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</si>
  <si>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</si>
  <si>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</si>
  <si>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</si>
  <si>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</si>
  <si>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</si>
  <si>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</si>
  <si>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</si>
  <si>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</si>
  <si>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</si>
  <si>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</si>
  <si>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</si>
  <si>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</si>
  <si>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</si>
  <si>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</si>
  <si>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</si>
  <si>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</si>
  <si>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</si>
  <si>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</si>
  <si>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</si>
  <si>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</si>
  <si>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</si>
  <si>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</si>
  <si>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</si>
  <si>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</si>
  <si>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</si>
  <si>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</si>
  <si>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</si>
  <si>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>地    区</t>
  </si>
  <si>
    <t>税收返还</t>
    <phoneticPr fontId="37" type="noConversion"/>
  </si>
  <si>
    <t>一般性转移支付</t>
  </si>
  <si>
    <t>专项转移支付</t>
  </si>
  <si>
    <t xml:space="preserve">   其中：××项目  …………</t>
    <phoneticPr fontId="37" type="noConversion"/>
  </si>
  <si>
    <t>××地区</t>
    <phoneticPr fontId="37" type="noConversion"/>
  </si>
  <si>
    <t>未落实到地区数</t>
    <phoneticPr fontId="37" type="noConversion"/>
  </si>
  <si>
    <t>附表1-13</t>
    <phoneticPr fontId="37" type="noConversion"/>
  </si>
  <si>
    <t>一般公共服务支出</t>
  </si>
  <si>
    <t>国防支出</t>
  </si>
  <si>
    <t>公共安全支出</t>
  </si>
  <si>
    <t>教育支出</t>
  </si>
  <si>
    <t>科学技术支出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</si>
  <si>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</si>
  <si>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</si>
  <si>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</si>
  <si>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</si>
  <si>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</si>
  <si>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</si>
  <si>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</si>
  <si>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</si>
  <si>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住房保障支出</t>
  </si>
  <si>
    <t>粮油物资储备支出</t>
  </si>
  <si>
    <t>债务付息支出</t>
  </si>
  <si>
    <t>债务发行费用支出</t>
  </si>
  <si>
    <t>一、城乡社区支出</t>
  </si>
  <si>
    <t>（一）国有土地使用权出让收入安排的支出</t>
  </si>
  <si>
    <t xml:space="preserve">  1、征地和拆迁补偿支出</t>
    <phoneticPr fontId="85" type="noConversion"/>
  </si>
  <si>
    <t xml:space="preserve">  2、土地开发支出</t>
    <phoneticPr fontId="85" type="noConversion"/>
  </si>
  <si>
    <t xml:space="preserve">  3、城市建设支出</t>
    <phoneticPr fontId="85" type="noConversion"/>
  </si>
  <si>
    <t xml:space="preserve">  4、农村基础设施建设支出</t>
    <phoneticPr fontId="85" type="noConversion"/>
  </si>
  <si>
    <t xml:space="preserve">  5、补助被征地农民支出</t>
    <phoneticPr fontId="85" type="noConversion"/>
  </si>
  <si>
    <t xml:space="preserve">  6、土地出让业务支出</t>
    <phoneticPr fontId="85" type="noConversion"/>
  </si>
  <si>
    <t xml:space="preserve">  7、廉租住房支出</t>
    <phoneticPr fontId="85" type="noConversion"/>
  </si>
  <si>
    <t xml:space="preserve">  8、其他支出</t>
    <phoneticPr fontId="85" type="noConversion"/>
  </si>
  <si>
    <t>（二）国有土地收益基金安排的支出</t>
  </si>
  <si>
    <t>（三）农业土地开发资金安排的支出</t>
  </si>
  <si>
    <t>（四）债务付息支出</t>
  </si>
  <si>
    <t>（五）债务发行费用支出</t>
  </si>
  <si>
    <t>（七）城市基础设施配套费安排的支出</t>
    <phoneticPr fontId="85" type="noConversion"/>
  </si>
  <si>
    <t>二、彩票公益金安排的支出</t>
    <phoneticPr fontId="85" type="noConversion"/>
  </si>
  <si>
    <t>（一）体育彩票公益金</t>
    <phoneticPr fontId="85" type="noConversion"/>
  </si>
  <si>
    <t>（二）福利彩票公益金</t>
    <phoneticPr fontId="85" type="noConversion"/>
  </si>
  <si>
    <t>（一）城乡居民基本养老保险基金收入</t>
  </si>
  <si>
    <t>1、上级补助收入</t>
  </si>
  <si>
    <t>2、本级补助收入</t>
  </si>
  <si>
    <t>3、个人缴费收入</t>
  </si>
  <si>
    <t>4、利息收入</t>
  </si>
  <si>
    <t>1、本级补助收入</t>
  </si>
  <si>
    <t>2、个人缴费及镇级补助收入</t>
  </si>
  <si>
    <t>3、利息收入</t>
  </si>
  <si>
    <t>（三）机关事业单位养老保险基金收入</t>
  </si>
  <si>
    <t>1、养老保险费收入</t>
  </si>
  <si>
    <t>2、职业年金收入</t>
  </si>
  <si>
    <t>3、财政补助收入</t>
  </si>
  <si>
    <t>4、财政委托代发费用</t>
  </si>
  <si>
    <t>二、上级统筹管理的社保基金收入</t>
  </si>
  <si>
    <t>（四）企业职工养老保险基金收入</t>
  </si>
  <si>
    <t>1、企业职工养老保险基金收入</t>
  </si>
  <si>
    <t>2、利息收入</t>
  </si>
  <si>
    <t>（五）职工基本医疗保险基金收入</t>
  </si>
  <si>
    <t>1、职工基本医疗保险基金收入</t>
  </si>
  <si>
    <t>（六）失业保险基金收入</t>
  </si>
  <si>
    <t>1、失业保险基金收入</t>
  </si>
  <si>
    <t>（七）工伤保险基金收入</t>
  </si>
  <si>
    <t>1、工伤保险基金收入</t>
  </si>
  <si>
    <t>（八）生育保险基金收入</t>
  </si>
  <si>
    <t>1、生育保险基金收入</t>
  </si>
  <si>
    <t>（九）城乡居民基本医疗保险基金收入</t>
  </si>
  <si>
    <t>1、城乡居民基本医疗保险基金收入</t>
  </si>
  <si>
    <t>（一）城乡居民基本养老保险基金支出</t>
  </si>
  <si>
    <t>1、城乡居民养老保险金支出</t>
  </si>
  <si>
    <t>2、丧葬补助金支出</t>
  </si>
  <si>
    <t>（三）机关事业单位养老保险基金支出</t>
  </si>
  <si>
    <t>1、养老保险统筹支出</t>
  </si>
  <si>
    <t>2、财政委托代发支出</t>
  </si>
  <si>
    <t>（四）企业职工养老保险基金支出</t>
  </si>
  <si>
    <t>（五）职工基本医疗保险基金支出</t>
  </si>
  <si>
    <t>（六）失业保险基金支出</t>
  </si>
  <si>
    <t>（七）工伤保险基金支出</t>
  </si>
  <si>
    <t>（八）生育保险基金支出</t>
  </si>
  <si>
    <t>（九）城乡居民基本医疗保险基金支出</t>
  </si>
  <si>
    <t xml:space="preserve">  人大事务</t>
  </si>
  <si>
    <t xml:space="preserve">    行政运行</t>
  </si>
  <si>
    <t xml:space="preserve">    机关服务</t>
  </si>
  <si>
    <t xml:space="preserve">    人大会议</t>
  </si>
  <si>
    <t xml:space="preserve">    人大代表履职能力提升</t>
  </si>
  <si>
    <t xml:space="preserve">    代表工作</t>
  </si>
  <si>
    <t xml:space="preserve">  政协事务</t>
  </si>
  <si>
    <t xml:space="preserve">    一般行政管理事务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</si>
  <si>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</si>
  <si>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</si>
  <si>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</si>
  <si>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</si>
  <si>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政府办公厅（室）及相关机构事务</t>
  </si>
  <si>
    <t xml:space="preserve">    政务公开审批</t>
  </si>
  <si>
    <t xml:space="preserve">    信访事务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</si>
  <si>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</si>
  <si>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</si>
  <si>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</si>
  <si>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</si>
  <si>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</si>
  <si>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</si>
  <si>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</si>
  <si>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</si>
  <si>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</si>
  <si>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财政事务</t>
  </si>
  <si>
    <t xml:space="preserve">    财政国库业务</t>
  </si>
  <si>
    <t xml:space="preserve">    信息化建设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</si>
  <si>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</si>
  <si>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</si>
  <si>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</si>
  <si>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</si>
  <si>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</si>
  <si>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</si>
  <si>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</si>
  <si>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</si>
  <si>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</si>
  <si>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</si>
  <si>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港澳台事务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</si>
  <si>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</si>
  <si>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</si>
  <si>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</si>
  <si>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</si>
  <si>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</si>
  <si>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</si>
  <si>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</si>
  <si>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</si>
  <si>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</si>
  <si>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</si>
  <si>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专项业务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</si>
  <si>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</si>
  <si>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</si>
  <si>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</si>
  <si>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</si>
  <si>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</si>
  <si>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</si>
  <si>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</si>
  <si>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</si>
  <si>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</si>
  <si>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</si>
  <si>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</si>
  <si>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其他市场监督管理事务</t>
  </si>
  <si>
    <t xml:space="preserve">  其他一般公共服务支出</t>
  </si>
  <si>
    <t xml:space="preserve">    国家赔偿费用支出</t>
  </si>
  <si>
    <t xml:space="preserve">    其他一般公共服务支出</t>
  </si>
  <si>
    <t xml:space="preserve">  国防动员</t>
  </si>
  <si>
    <t xml:space="preserve">    兵役征集</t>
  </si>
  <si>
    <t xml:space="preserve">    人民防空</t>
  </si>
  <si>
    <t xml:space="preserve">    交通战备</t>
  </si>
  <si>
    <t xml:space="preserve">    预备役部队</t>
  </si>
  <si>
    <t xml:space="preserve">    民兵</t>
  </si>
  <si>
    <t xml:space="preserve">  其他国防支出</t>
  </si>
  <si>
    <t xml:space="preserve">    其他国防支出</t>
  </si>
  <si>
    <t xml:space="preserve">  武装警察部队</t>
  </si>
  <si>
    <t xml:space="preserve">    其他武装警察部队支出</t>
  </si>
  <si>
    <t xml:space="preserve">  公安</t>
  </si>
  <si>
    <t xml:space="preserve">    特别业务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</si>
  <si>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</si>
  <si>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</si>
  <si>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</si>
  <si>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</si>
  <si>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</si>
  <si>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</si>
  <si>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</si>
  <si>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</si>
  <si>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</si>
  <si>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</si>
  <si>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</si>
  <si>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</si>
  <si>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</si>
  <si>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</si>
  <si>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</si>
  <si>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</si>
  <si>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</si>
  <si>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</si>
  <si>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</si>
  <si>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</si>
  <si>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</si>
  <si>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</si>
  <si>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</si>
  <si>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</si>
  <si>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</si>
  <si>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</si>
  <si>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</si>
  <si>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</si>
  <si>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</si>
  <si>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</si>
  <si>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</si>
  <si>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</si>
  <si>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</si>
  <si>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</si>
  <si>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</si>
  <si>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</si>
  <si>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</si>
  <si>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</si>
  <si>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高技术研究</t>
  </si>
  <si>
    <t xml:space="preserve">    专项科研试制</t>
  </si>
  <si>
    <t xml:space="preserve">    其他应用研究支出</t>
  </si>
  <si>
    <t xml:space="preserve">  科学技术普及</t>
  </si>
  <si>
    <t xml:space="preserve">    机构运行</t>
  </si>
  <si>
    <t xml:space="preserve">    科普活动</t>
  </si>
  <si>
    <t xml:space="preserve">    科技馆站</t>
  </si>
  <si>
    <t xml:space="preserve">    其他科学技术普及支出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</si>
  <si>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</si>
  <si>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</si>
  <si>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</si>
  <si>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</si>
  <si>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图书馆</t>
  </si>
  <si>
    <t xml:space="preserve">    艺术表演场所</t>
  </si>
  <si>
    <t xml:space="preserve">    艺术表演团体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</si>
  <si>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</si>
  <si>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</si>
  <si>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</si>
  <si>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</si>
  <si>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</si>
  <si>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</si>
  <si>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</si>
  <si>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</si>
  <si>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</si>
  <si>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</si>
  <si>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</si>
  <si>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</si>
  <si>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</si>
  <si>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</si>
  <si>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出版发行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</si>
  <si>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</si>
  <si>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</si>
  <si>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</si>
  <si>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</si>
  <si>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其他广播电视支出</t>
  </si>
  <si>
    <t xml:space="preserve">    文化产业发展专项支出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</si>
  <si>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</si>
  <si>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</si>
  <si>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</si>
  <si>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</si>
  <si>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</si>
  <si>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</si>
  <si>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</si>
  <si>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</si>
  <si>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</si>
  <si>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</si>
  <si>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其他民政管理事务支出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</si>
  <si>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</si>
  <si>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</si>
  <si>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</si>
  <si>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</si>
  <si>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</si>
  <si>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</si>
  <si>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</si>
  <si>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</si>
  <si>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</si>
  <si>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</si>
  <si>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</si>
  <si>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</si>
  <si>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</si>
  <si>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</si>
  <si>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</si>
  <si>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</si>
  <si>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</si>
  <si>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</si>
  <si>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</si>
  <si>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</si>
  <si>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</si>
  <si>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</si>
  <si>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</si>
  <si>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</si>
  <si>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</si>
  <si>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</si>
  <si>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</si>
  <si>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</si>
  <si>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</si>
  <si>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</si>
  <si>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</si>
  <si>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</si>
  <si>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</si>
  <si>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</si>
  <si>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</si>
  <si>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</si>
  <si>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</si>
  <si>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</si>
  <si>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</si>
  <si>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</si>
  <si>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</si>
  <si>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</si>
  <si>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突发公共卫生事件应急处理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</si>
  <si>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</si>
  <si>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</si>
  <si>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</si>
  <si>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</si>
  <si>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</si>
  <si>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</si>
  <si>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</si>
  <si>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</si>
  <si>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</si>
  <si>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</si>
  <si>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  城乡医疗救助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</si>
  <si>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</si>
  <si>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</si>
  <si>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</si>
  <si>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</si>
  <si>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</si>
  <si>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</si>
  <si>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</si>
  <si>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</si>
  <si>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</si>
  <si>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</si>
  <si>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固体废弃物与化学品</t>
  </si>
  <si>
    <t xml:space="preserve">  自然生态保护</t>
  </si>
  <si>
    <t xml:space="preserve">    生态保护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</si>
  <si>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</si>
  <si>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</si>
  <si>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</si>
  <si>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</si>
  <si>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</si>
  <si>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</si>
  <si>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</si>
  <si>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</si>
  <si>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</si>
  <si>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</si>
  <si>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</si>
  <si>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</si>
  <si>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</si>
  <si>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</si>
  <si>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</si>
  <si>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</si>
  <si>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</si>
  <si>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</si>
  <si>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  农村道路建设</t>
  </si>
  <si>
    <t xml:space="preserve">  林业和草原</t>
  </si>
  <si>
    <t xml:space="preserve">    事业机构</t>
  </si>
  <si>
    <t xml:space="preserve">    执法与监督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</si>
  <si>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</si>
  <si>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</si>
  <si>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</si>
  <si>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</si>
  <si>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</si>
  <si>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</si>
  <si>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</si>
  <si>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</si>
  <si>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</si>
  <si>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</si>
  <si>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</si>
  <si>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</si>
  <si>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</si>
  <si>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</si>
  <si>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</si>
  <si>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</si>
  <si>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其他农林水支出</t>
  </si>
  <si>
    <t xml:space="preserve">    其他农林水支出</t>
  </si>
  <si>
    <t xml:space="preserve">  公路水路运输</t>
  </si>
  <si>
    <t xml:space="preserve">    公路养护</t>
  </si>
  <si>
    <t xml:space="preserve">    公路运输管理</t>
  </si>
  <si>
    <t xml:space="preserve">    其他公路水路运输支出</t>
  </si>
  <si>
    <t xml:space="preserve">  民用航空运输</t>
  </si>
  <si>
    <t xml:space="preserve">    其他民用航空运输支出</t>
  </si>
  <si>
    <t xml:space="preserve">  邮政业支出</t>
  </si>
  <si>
    <t xml:space="preserve">    行业监管</t>
  </si>
  <si>
    <t xml:space="preserve">    其他邮政业支出</t>
  </si>
  <si>
    <t xml:space="preserve">  其他交通运输支出</t>
  </si>
  <si>
    <t xml:space="preserve">    公共交通运营补助</t>
  </si>
  <si>
    <t xml:space="preserve">    其他交通运输支出</t>
  </si>
  <si>
    <t xml:space="preserve">  制造业</t>
  </si>
  <si>
    <t xml:space="preserve">    其他制造业支出</t>
  </si>
  <si>
    <t xml:space="preserve">  工业和信息产业监管</t>
  </si>
  <si>
    <t xml:space="preserve">  支持中小企业发展和管理支出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</si>
  <si>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</si>
  <si>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</si>
  <si>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</si>
  <si>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</si>
  <si>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</si>
  <si>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</si>
  <si>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</si>
  <si>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</si>
  <si>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</si>
  <si>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</si>
  <si>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</t>
  </si>
  <si>
    <t xml:space="preserve">    其他金融支出</t>
  </si>
  <si>
    <t>自然资源海洋气象等支出</t>
  </si>
  <si>
    <t xml:space="preserve">  自然资源事务</t>
  </si>
  <si>
    <t xml:space="preserve">    其他自然资源事务支出</t>
  </si>
  <si>
    <t xml:space="preserve">  气象事务</t>
  </si>
  <si>
    <t xml:space="preserve">    气象服务</t>
  </si>
  <si>
    <t xml:space="preserve">    气象基础设施建设与维修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</si>
  <si>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</si>
  <si>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</si>
  <si>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</si>
  <si>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</si>
  <si>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</si>
  <si>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</si>
  <si>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</si>
  <si>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 xml:space="preserve">  粮油事务</t>
  </si>
  <si>
    <t xml:space="preserve">    其他粮油事务支出</t>
  </si>
  <si>
    <t>灾害防治及应急管理支出</t>
  </si>
  <si>
    <t xml:space="preserve">  应急管理事务</t>
  </si>
  <si>
    <t xml:space="preserve">    应急救援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</si>
  <si>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</si>
  <si>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</si>
  <si>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</si>
  <si>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</si>
  <si>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</si>
  <si>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地震预测预报</t>
  </si>
  <si>
    <t xml:space="preserve">    地震灾害预防</t>
  </si>
  <si>
    <t xml:space="preserve">    地震应急救援</t>
  </si>
  <si>
    <t xml:space="preserve">    其他地震事务支出</t>
  </si>
  <si>
    <t xml:space="preserve">  其他灾害防治及应急管理支出</t>
  </si>
  <si>
    <t xml:space="preserve">    其他灾害防治及应急管理支出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</si>
  <si>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</si>
  <si>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</si>
  <si>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</si>
  <si>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</si>
  <si>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</si>
  <si>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2019年度本级政府性基金支出预算表</t>
    <phoneticPr fontId="37" type="noConversion"/>
  </si>
  <si>
    <t>（六）污水处理费安排的支出</t>
    <phoneticPr fontId="85" type="noConversion"/>
  </si>
  <si>
    <t>一、本级直接管理的社保基金收入</t>
    <phoneticPr fontId="37" type="noConversion"/>
  </si>
  <si>
    <t>（二）被征地人员养老保障基金收入</t>
    <phoneticPr fontId="37" type="noConversion"/>
  </si>
  <si>
    <t>5、利息收入</t>
  </si>
  <si>
    <t>社保基金收入  合计</t>
  </si>
  <si>
    <t>一、本级直接管理的社保基金支出</t>
    <phoneticPr fontId="37" type="noConversion"/>
  </si>
  <si>
    <t>（二）被征地人员养老保障基金支出</t>
    <phoneticPr fontId="37" type="noConversion"/>
  </si>
  <si>
    <t>二、上级统筹管理的社保基金支出</t>
  </si>
  <si>
    <t xml:space="preserve">  2、本级支出</t>
  </si>
  <si>
    <t xml:space="preserve">  2、企业职工养老保险基金本级支出</t>
  </si>
  <si>
    <t xml:space="preserve">  2、职工基本医疗保险基金本级支出</t>
  </si>
  <si>
    <t xml:space="preserve">  2、失业保险基金本级支出</t>
  </si>
  <si>
    <t xml:space="preserve">  2、工伤保险基金本级支出</t>
  </si>
  <si>
    <t xml:space="preserve">  2、生育保险基金本级支出</t>
  </si>
  <si>
    <t xml:space="preserve">  2、城乡居民基本医疗保险基金支出</t>
  </si>
  <si>
    <t>社保基金支出  合计</t>
  </si>
  <si>
    <t>单位：万元</t>
    <phoneticPr fontId="85" type="noConversion"/>
  </si>
  <si>
    <t>政府债务余额</t>
    <phoneticPr fontId="85" type="noConversion"/>
  </si>
  <si>
    <t>金额</t>
    <phoneticPr fontId="37" type="noConversion"/>
  </si>
  <si>
    <t>政府债务限额</t>
    <phoneticPr fontId="85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</si>
  <si>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</si>
  <si>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1、</t>
    <phoneticPr fontId="37" type="noConversion"/>
  </si>
  <si>
    <t>附表5-1：2019年度政府一般债务余额和限额情况表</t>
  </si>
  <si>
    <t>省、市、县</t>
    <phoneticPr fontId="37" type="noConversion"/>
  </si>
  <si>
    <t>2、</t>
    <phoneticPr fontId="37" type="noConversion"/>
  </si>
  <si>
    <t>附表5-1</t>
    <phoneticPr fontId="37" type="noConversion"/>
  </si>
  <si>
    <t>单位：万元</t>
    <phoneticPr fontId="85" type="noConversion"/>
  </si>
  <si>
    <t>政府债务余额</t>
    <phoneticPr fontId="85" type="noConversion"/>
  </si>
  <si>
    <t>金额</t>
    <phoneticPr fontId="37" type="noConversion"/>
  </si>
  <si>
    <t>政府债务限额</t>
    <phoneticPr fontId="85" type="noConversion"/>
  </si>
  <si>
    <t>附表5-3</t>
    <phoneticPr fontId="37" type="noConversion"/>
  </si>
  <si>
    <t>附表1-8</t>
    <phoneticPr fontId="37" type="noConversion"/>
  </si>
  <si>
    <t>当年预算数</t>
    <phoneticPr fontId="37" type="noConversion"/>
  </si>
  <si>
    <t>上年执行数(或上年预算数)</t>
  </si>
  <si>
    <t>当年预算数为上年执行数(或上年预算数)的％</t>
    <phoneticPr fontId="37" type="noConversion"/>
  </si>
  <si>
    <t>合计</t>
  </si>
  <si>
    <t>1、因公出国（境）费用</t>
  </si>
  <si>
    <t>2、公务接待费</t>
  </si>
  <si>
    <t>3、公务用车购置及运行费</t>
    <phoneticPr fontId="37" type="noConversion"/>
  </si>
  <si>
    <t>其中：（1）公务用车运行费</t>
    <phoneticPr fontId="108" type="noConversion"/>
  </si>
  <si>
    <t xml:space="preserve">      （2）公务用车购置费</t>
    <phoneticPr fontId="108" type="noConversion"/>
  </si>
  <si>
    <t>备注：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</si>
  <si>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</si>
  <si>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</si>
  <si>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</si>
  <si>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</si>
  <si>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</si>
  <si>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</si>
  <si>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</si>
  <si>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</si>
  <si>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</si>
  <si>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</si>
  <si>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</si>
  <si>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</si>
  <si>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附表1-3</t>
    <phoneticPr fontId="37" type="noConversion"/>
  </si>
  <si>
    <t>附表1-5</t>
    <phoneticPr fontId="37" type="noConversion"/>
  </si>
  <si>
    <t>附表5-2：2019年度政府专项债务余额和限额情况表</t>
    <phoneticPr fontId="93" type="noConversion"/>
  </si>
  <si>
    <t>附表1-6</t>
    <phoneticPr fontId="37" type="noConversion"/>
  </si>
  <si>
    <t>本市所辖乡镇作为一级预算部门管理，未单独编制政府预算，为此未有一般公共预算对下税收返还和转移支付预算数据。</t>
    <phoneticPr fontId="37" type="noConversion"/>
  </si>
  <si>
    <t>本市所辖乡镇作为一级预算部门管理，未单独编制政府预算，为此未有一般公共预算对下税收返还和转移支付预算数据。</t>
    <phoneticPr fontId="37" type="noConversion"/>
  </si>
  <si>
    <t>附表1-9</t>
    <phoneticPr fontId="37" type="noConversion"/>
  </si>
  <si>
    <t>本市所辖乡镇作为一级预算部门管理，未单独编制政府预算，为此未有政府性基金对下税收返还和转移支付预算数据。</t>
    <phoneticPr fontId="37" type="noConversion"/>
  </si>
  <si>
    <t>附表1-11</t>
    <phoneticPr fontId="37" type="noConversion"/>
  </si>
  <si>
    <t>附表1-12</t>
    <phoneticPr fontId="37" type="noConversion"/>
  </si>
  <si>
    <t>附表1-13</t>
    <phoneticPr fontId="37" type="noConversion"/>
  </si>
  <si>
    <t>附表1-14</t>
    <phoneticPr fontId="37" type="noConversion"/>
  </si>
  <si>
    <t>附表1-15</t>
    <phoneticPr fontId="37" type="noConversion"/>
  </si>
  <si>
    <t>2020年度预算公开表</t>
    <phoneticPr fontId="93" type="noConversion"/>
  </si>
  <si>
    <t>附表1-1：2020年度一般公共预算收入预算表</t>
    <phoneticPr fontId="93" type="noConversion"/>
  </si>
  <si>
    <t>附表1-2：2020年度一般公共预算支出预算表</t>
  </si>
  <si>
    <t>附表1-3：2020年度本级一般公共预算支出预算表</t>
  </si>
  <si>
    <t>附表1-4：2020年度本级一般公共预算支出经济分类情况表</t>
  </si>
  <si>
    <t>附表1-5：2020年度本级一般公共预算基本支出经济分类情况表</t>
  </si>
  <si>
    <t>附表1-6：2020年度一般公共预算对下税收返还和转移支付预算表（分项目）</t>
  </si>
  <si>
    <t>附表1-7：2020年度一般公共预算对下税收返还和转移支付预算表（分地区）</t>
  </si>
  <si>
    <t>附表1-8：2020年度本级一般公共预算“三公”经费支出预算表</t>
  </si>
  <si>
    <t>附表1-9：2020年度本级政府性基金收入预算表</t>
  </si>
  <si>
    <t>附表1-10：2020年度本级政府性基金支出预算表</t>
  </si>
  <si>
    <t>附表1-11：2020年度政府性基金转移支付预算表</t>
  </si>
  <si>
    <t>附表1-12：2020年度本级国有资本经营收入预算表</t>
  </si>
  <si>
    <t>附表1-13：2020年度本级国有资本经营支出预算表</t>
  </si>
  <si>
    <t>附表1-14：2020年度本级社会保险基金预算收入表</t>
  </si>
  <si>
    <t>附表1-15：2020年度本级社会保险基金预算支出表</t>
  </si>
  <si>
    <t>一、政府预算公开</t>
    <phoneticPr fontId="37" type="noConversion"/>
  </si>
  <si>
    <t>五、政府债务公开</t>
    <phoneticPr fontId="37" type="noConversion"/>
  </si>
  <si>
    <t>2020年度一般公共预算收入预算表</t>
    <phoneticPr fontId="37" type="noConversion"/>
  </si>
  <si>
    <t xml:space="preserve">    环保税</t>
    <phoneticPr fontId="37" type="noConversion"/>
  </si>
  <si>
    <t>其它支出（类级）</t>
  </si>
  <si>
    <t xml:space="preserve">    预算改革业务</t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</si>
  <si>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其他审计事务支出</t>
    </r>
    <phoneticPr fontId="37" type="noConversion"/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</si>
  <si>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民族工作专项</t>
    </r>
    <phoneticPr fontId="37" type="noConversion"/>
  </si>
  <si>
    <t xml:space="preserve">    市场主体管理</t>
    <phoneticPr fontId="37" type="noConversion"/>
  </si>
  <si>
    <t xml:space="preserve">    市场秩序执法</t>
    <phoneticPr fontId="37" type="noConversion"/>
  </si>
  <si>
    <t xml:space="preserve">    药品事务</t>
    <phoneticPr fontId="37" type="noConversion"/>
  </si>
  <si>
    <t xml:space="preserve">    其他法院支出</t>
  </si>
  <si>
    <t xml:space="preserve">    法制建设</t>
  </si>
  <si>
    <t xml:space="preserve">    中等职业教育</t>
    <phoneticPr fontId="37" type="noConversion"/>
  </si>
  <si>
    <t xml:space="preserve">  社会科学</t>
  </si>
  <si>
    <t xml:space="preserve">    社会科学研究机构</t>
  </si>
  <si>
    <t xml:space="preserve">    文化和旅游管理事务</t>
    <phoneticPr fontId="37" type="noConversion"/>
  </si>
  <si>
    <t xml:space="preserve">    行政运行</t>
    <phoneticPr fontId="37" type="noConversion"/>
  </si>
  <si>
    <t xml:space="preserve">  其他文化旅游体育与传媒支出</t>
    <phoneticPr fontId="37" type="noConversion"/>
  </si>
  <si>
    <t xml:space="preserve">    其他文化旅游体育与传媒支出</t>
    <phoneticPr fontId="37" type="noConversion"/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</si>
  <si>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社会保险业务管理事务</t>
    </r>
  </si>
  <si>
    <t xml:space="preserve">  行政事业单位养老支出</t>
    <phoneticPr fontId="37" type="noConversion"/>
  </si>
  <si>
    <t xml:space="preserve">    其他行政事业单位养老支出</t>
    <phoneticPr fontId="37" type="noConversion"/>
  </si>
  <si>
    <t xml:space="preserve">  就业补助</t>
    <phoneticPr fontId="37" type="noConversion"/>
  </si>
  <si>
    <t xml:space="preserve">    其他救业补助支出</t>
    <phoneticPr fontId="37" type="noConversion"/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</si>
  <si>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其他退役安置支出</t>
    </r>
    <phoneticPr fontId="37" type="noConversion"/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</si>
  <si>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残疾人康复</t>
    </r>
    <phoneticPr fontId="37" type="noConversion"/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</si>
  <si>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残疾人就业和扶贫</t>
    </r>
    <phoneticPr fontId="37" type="noConversion"/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</si>
  <si>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临时救助</t>
    </r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</si>
  <si>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临时救助支出</t>
    </r>
  </si>
  <si>
    <t xml:space="preserve">    流浪乞讨人员救助支出</t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</si>
  <si>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特困人员救助供养</t>
    </r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</si>
  <si>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城市特困人员救助供养支出</t>
    </r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</si>
  <si>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农村特困人员救助供养支出</t>
    </r>
  </si>
  <si>
    <t xml:space="preserve">    精神病医院</t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</si>
  <si>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其他公立医院支出</t>
    </r>
    <phoneticPr fontId="37" type="noConversion"/>
  </si>
  <si>
    <t xml:space="preserve">  医疗救助</t>
  </si>
  <si>
    <t xml:space="preserve">  优抚对象医疗</t>
    <phoneticPr fontId="37" type="noConversion"/>
  </si>
  <si>
    <t xml:space="preserve">    优抚对象医疗补助</t>
  </si>
  <si>
    <t xml:space="preserve">    其他优抚对象医疗支出</t>
    <phoneticPr fontId="37" type="noConversion"/>
  </si>
  <si>
    <t xml:space="preserve">  农业农村</t>
    <phoneticPr fontId="37" type="noConversion"/>
  </si>
  <si>
    <t xml:space="preserve">    农业生产发展</t>
  </si>
  <si>
    <t xml:space="preserve">    农村社会事业</t>
    <phoneticPr fontId="37" type="noConversion"/>
  </si>
  <si>
    <t xml:space="preserve">    其他农业农村支出</t>
    <phoneticPr fontId="37" type="noConversion"/>
  </si>
  <si>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森林生态效益补偿</t>
    </r>
  </si>
  <si>
    <t xml:space="preserve">    林业草原防灾减灾</t>
    <phoneticPr fontId="37" type="noConversion"/>
  </si>
  <si>
    <t>资源勘探工业信息等支出</t>
    <phoneticPr fontId="37" type="noConversion"/>
  </si>
  <si>
    <t xml:space="preserve">    信息安全建设</t>
  </si>
  <si>
    <t xml:space="preserve">  其他资源勘探工业信息等支出</t>
    <phoneticPr fontId="37" type="noConversion"/>
  </si>
  <si>
    <t xml:space="preserve">    其他资源勘探工业信息等支出</t>
    <phoneticPr fontId="37" type="noConversion"/>
  </si>
  <si>
    <t xml:space="preserve">  保障性安居工程支出</t>
    <phoneticPr fontId="37" type="noConversion"/>
  </si>
  <si>
    <t xml:space="preserve">    棚户区改造</t>
    <phoneticPr fontId="37" type="noConversion"/>
  </si>
  <si>
    <t xml:space="preserve">    地方政府一般债务发行费用支出</t>
  </si>
  <si>
    <t>2020年度一般公共预算支出预算表</t>
    <phoneticPr fontId="37" type="noConversion"/>
  </si>
  <si>
    <t>2020年度本级一般公共预算支出预算表</t>
    <phoneticPr fontId="37" type="noConversion"/>
  </si>
  <si>
    <t>2020年度本级一般公共预算支出经济分类情况表</t>
    <phoneticPr fontId="37" type="noConversion"/>
  </si>
  <si>
    <t>2020年度本级一般公共预算基本支出经济分类情况表</t>
    <phoneticPr fontId="37" type="noConversion"/>
  </si>
  <si>
    <t>2020年度一般公共预算对下税收返还和转移支付预算表（分项目）</t>
    <phoneticPr fontId="37" type="noConversion"/>
  </si>
  <si>
    <t>2020年度一般公共预算对下税收返还和转移支付预算表（分地区）</t>
    <phoneticPr fontId="37" type="noConversion"/>
  </si>
  <si>
    <t>2020年度本级一般公共预算“三公”经费支出预算表</t>
    <phoneticPr fontId="37" type="noConversion"/>
  </si>
  <si>
    <t>2020年度本级政府性基金收入预算表</t>
    <phoneticPr fontId="37" type="noConversion"/>
  </si>
  <si>
    <t>2.经汇总，本级2020年使用一般公共预算拨款安排的“三公”经费预算数为2661万元，比上年数减少381万元。其中，因公出国（境）经费173万元，与上年数相比下降18.4%；公务接待费322万元，与上年数相比下降43.4%；公务用车购置经费843万元，与上年数相比增长79.74%；公务用车运行经费1323万元，与上年数相比下降26.17%。“三公”经费预算下降的主要原因是遵守八项规定，例行节约，其中公务用车购置费增加是因为公安执法车辆老化，预算安排车辆购置更新500万元。</t>
    <phoneticPr fontId="37" type="noConversion"/>
  </si>
  <si>
    <t>三、上级政府性基金安排的支出</t>
    <phoneticPr fontId="37" type="noConversion"/>
  </si>
  <si>
    <t>2020年度政府性基金转移支付预算表</t>
    <phoneticPr fontId="37" type="noConversion"/>
  </si>
  <si>
    <t>2020年度本级国有资本经营收入预算表</t>
    <phoneticPr fontId="37" type="noConversion"/>
  </si>
  <si>
    <t>2020年度本级国有资本经营支出预算表</t>
    <phoneticPr fontId="37" type="noConversion"/>
  </si>
  <si>
    <t>2020年度本级社会保险基金预算收入表</t>
    <phoneticPr fontId="37" type="noConversion"/>
  </si>
  <si>
    <t>3、其他支出</t>
    <phoneticPr fontId="37" type="noConversion"/>
  </si>
  <si>
    <t xml:space="preserve">  1、上级统筹调剂支出</t>
  </si>
  <si>
    <t>2020年度本级社会保险基金预算支出表</t>
    <phoneticPr fontId="37" type="noConversion"/>
  </si>
  <si>
    <t>2019年度政府一般债务余额和限额情况表</t>
    <phoneticPr fontId="85" type="noConversion"/>
  </si>
  <si>
    <t>1. 2018年末一般债务余额</t>
    <phoneticPr fontId="85" type="noConversion"/>
  </si>
  <si>
    <t>2. 2019年新增一般债务额</t>
    <phoneticPr fontId="85" type="noConversion"/>
  </si>
  <si>
    <t>3. 2019年偿还一般债务本金</t>
    <phoneticPr fontId="85" type="noConversion"/>
  </si>
  <si>
    <t>4. 2019年末一般债务余额</t>
    <phoneticPr fontId="85" type="noConversion"/>
  </si>
  <si>
    <t>1．2018年一般债务限额</t>
    <phoneticPr fontId="85" type="noConversion"/>
  </si>
  <si>
    <t>2．2019年新增一般债务限额</t>
    <phoneticPr fontId="85" type="noConversion"/>
  </si>
  <si>
    <t>3．2019年一般债务限额</t>
    <phoneticPr fontId="85" type="noConversion"/>
  </si>
  <si>
    <t>2019年度政府专项债务余额和限额情况表</t>
    <phoneticPr fontId="85" type="noConversion"/>
  </si>
  <si>
    <t>1. 2018年末专项债务余额</t>
    <phoneticPr fontId="85" type="noConversion"/>
  </si>
  <si>
    <t>2. 2019年新增专项债务额</t>
    <phoneticPr fontId="85" type="noConversion"/>
  </si>
  <si>
    <t>3. 2019年偿还专项债务本金</t>
    <phoneticPr fontId="85" type="noConversion"/>
  </si>
  <si>
    <t>4. 2019年末专项债务余额</t>
    <phoneticPr fontId="85" type="noConversion"/>
  </si>
  <si>
    <t>1．2018年专项债务限额</t>
    <phoneticPr fontId="85" type="noConversion"/>
  </si>
  <si>
    <t>2．2019年新增专项债务限额</t>
    <phoneticPr fontId="85" type="noConversion"/>
  </si>
  <si>
    <t>3．2019年专项债务限额</t>
    <phoneticPr fontId="8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</si>
</sst>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#,##0_);[Red]\(#,##0\)"/>
    <numFmt numFmtId="193" formatCode="#,##0_ "/>
    <numFmt numFmtId="194" formatCode="#,##0.00_);[Red]\(#,##0.00\)"/>
  </numFmts>
  <fonts count="10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11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theme="1"/>
      <name val="仿宋_GB2312"/>
      <charset val="134"/>
    </font>
    <font>
      <sz val="16"/>
      <color theme="1"/>
      <name val="方正小标宋_GBK"/>
      <family val="4"/>
      <charset val="134"/>
    </font>
    <font>
      <sz val="11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name val="楷体"/>
      <family val="3"/>
      <charset val="134"/>
    </font>
    <font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9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77" fillId="0" borderId="0"/>
    <xf numFmtId="176" fontId="53" fillId="0" borderId="0" applyFont="0" applyFill="0" applyBorder="0" applyAlignment="0" applyProtection="0"/>
    <xf numFmtId="179" fontId="77" fillId="0" borderId="0"/>
    <xf numFmtId="0" fontId="78" fillId="0" borderId="0" applyProtection="0"/>
    <xf numFmtId="186" fontId="77" fillId="0" borderId="0"/>
    <xf numFmtId="2" fontId="78" fillId="0" borderId="0" applyProtection="0"/>
    <xf numFmtId="0" fontId="79" fillId="0" borderId="15" applyNumberFormat="0" applyAlignment="0" applyProtection="0">
      <alignment horizontal="left" vertical="center"/>
    </xf>
    <xf numFmtId="0" fontId="79" fillId="0" borderId="2">
      <alignment horizontal="left" vertical="center"/>
    </xf>
    <xf numFmtId="0" fontId="80" fillId="0" borderId="0" applyProtection="0"/>
    <xf numFmtId="0" fontId="79" fillId="0" borderId="0" applyProtection="0"/>
    <xf numFmtId="37" fontId="75" fillId="0" borderId="0"/>
    <xf numFmtId="0" fontId="78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76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>
      <alignment vertical="center"/>
    </xf>
    <xf numFmtId="43" fontId="2" fillId="0" borderId="0" applyFont="0" applyFill="0" applyBorder="0" applyAlignment="0" applyProtection="0"/>
    <xf numFmtId="0" fontId="54" fillId="0" borderId="0">
      <alignment vertical="center"/>
    </xf>
  </cellStyleXfs>
  <cellXfs count="240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68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3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70" fillId="0" borderId="0" xfId="0" applyFont="1" applyAlignment="1">
      <alignment vertical="center"/>
    </xf>
    <xf numFmtId="0" fontId="70" fillId="0" borderId="1" xfId="1502" applyFont="1" applyBorder="1">
      <alignment vertical="center"/>
    </xf>
    <xf numFmtId="0" fontId="70" fillId="0" borderId="0" xfId="1526" applyFont="1">
      <alignment vertical="center"/>
    </xf>
    <xf numFmtId="1" fontId="70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74" fillId="0" borderId="1" xfId="1523" applyNumberFormat="1" applyFont="1" applyFill="1" applyBorder="1" applyAlignment="1" applyProtection="1">
      <alignment horizontal="center" vertical="center" wrapText="1"/>
    </xf>
    <xf numFmtId="191" fontId="69" fillId="0" borderId="1" xfId="2835" applyNumberFormat="1" applyFont="1" applyBorder="1" applyAlignment="1">
      <alignment horizontal="center" vertical="center" wrapText="1"/>
    </xf>
    <xf numFmtId="49" fontId="73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3" fillId="0" borderId="1" xfId="2851" applyNumberFormat="1" applyFont="1" applyBorder="1" applyAlignment="1">
      <alignment horizontal="left" indent="2"/>
    </xf>
    <xf numFmtId="49" fontId="73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8" fillId="0" borderId="1" xfId="2852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63" fillId="0" borderId="0" xfId="1526" applyFont="1" applyAlignment="1">
      <alignment horizontal="right" vertical="center"/>
    </xf>
    <xf numFmtId="0" fontId="63" fillId="0" borderId="0" xfId="1502" applyFont="1" applyBorder="1" applyAlignment="1">
      <alignment horizontal="right" vertical="center"/>
    </xf>
    <xf numFmtId="0" fontId="81" fillId="0" borderId="1" xfId="1502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2" fillId="0" borderId="0" xfId="194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2" fillId="0" borderId="1" xfId="1837" applyFont="1" applyBorder="1" applyAlignment="1">
      <alignment horizontal="center" vertical="center"/>
    </xf>
    <xf numFmtId="49" fontId="87" fillId="0" borderId="0" xfId="4987" applyNumberFormat="1" applyFont="1"/>
    <xf numFmtId="0" fontId="88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0" fillId="0" borderId="1" xfId="4988" applyNumberFormat="1" applyFont="1" applyBorder="1" applyAlignment="1">
      <alignment horizontal="left" vertical="center" wrapText="1"/>
    </xf>
    <xf numFmtId="49" fontId="73" fillId="0" borderId="1" xfId="4988" applyNumberFormat="1" applyFont="1" applyBorder="1" applyAlignment="1">
      <alignment horizontal="left" vertical="center" wrapText="1"/>
    </xf>
    <xf numFmtId="0" fontId="91" fillId="0" borderId="1" xfId="1837" applyFont="1" applyBorder="1" applyAlignment="1">
      <alignment horizontal="center" vertical="center"/>
    </xf>
    <xf numFmtId="0" fontId="6" fillId="0" borderId="0" xfId="1502" applyFont="1" applyBorder="1" applyAlignment="1">
      <alignment horizontal="center" vertical="center"/>
    </xf>
    <xf numFmtId="0" fontId="57" fillId="0" borderId="1" xfId="1526" applyFont="1" applyBorder="1" applyAlignment="1">
      <alignment horizontal="left" vertical="center" wrapText="1"/>
    </xf>
    <xf numFmtId="0" fontId="55" fillId="0" borderId="1" xfId="1526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 wrapText="1"/>
    </xf>
    <xf numFmtId="0" fontId="94" fillId="0" borderId="0" xfId="1526" applyFo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98" fillId="0" borderId="0" xfId="1526" applyFont="1">
      <alignment vertical="center"/>
    </xf>
    <xf numFmtId="0" fontId="57" fillId="0" borderId="1" xfId="1502" applyFont="1" applyBorder="1" applyAlignment="1">
      <alignment horizontal="left"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56" fillId="50" borderId="1" xfId="2852" applyFont="1" applyFill="1" applyBorder="1" applyAlignment="1">
      <alignment horizontal="left" vertical="center" indent="1"/>
    </xf>
    <xf numFmtId="0" fontId="55" fillId="50" borderId="1" xfId="1502" applyFont="1" applyFill="1" applyBorder="1">
      <alignment vertical="center"/>
    </xf>
    <xf numFmtId="0" fontId="83" fillId="0" borderId="1" xfId="1837" applyFont="1" applyFill="1" applyBorder="1" applyAlignment="1">
      <alignment horizontal="center" vertical="center"/>
    </xf>
    <xf numFmtId="0" fontId="83" fillId="0" borderId="1" xfId="1837" applyFont="1" applyFill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2" fillId="0" borderId="0" xfId="1688" applyAlignment="1">
      <alignment horizontal="center" vertical="center"/>
    </xf>
    <xf numFmtId="0" fontId="69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69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191" fontId="83" fillId="0" borderId="1" xfId="4623" applyNumberFormat="1" applyFont="1" applyBorder="1" applyAlignment="1">
      <alignment horizontal="right" vertical="center" shrinkToFit="1"/>
    </xf>
    <xf numFmtId="0" fontId="99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190" fontId="56" fillId="0" borderId="1" xfId="0" applyNumberFormat="1" applyFont="1" applyBorder="1" applyAlignment="1">
      <alignment horizontal="center" vertical="center" wrapText="1"/>
    </xf>
    <xf numFmtId="190" fontId="61" fillId="0" borderId="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90" fontId="61" fillId="0" borderId="21" xfId="0" applyNumberFormat="1" applyFont="1" applyBorder="1" applyAlignment="1">
      <alignment horizontal="center" vertical="center" wrapText="1"/>
    </xf>
    <xf numFmtId="49" fontId="0" fillId="51" borderId="21" xfId="0" applyNumberFormat="1" applyFill="1" applyBorder="1" applyAlignment="1">
      <alignment horizontal="left" vertical="center" wrapText="1"/>
    </xf>
    <xf numFmtId="49" fontId="0" fillId="52" borderId="21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99" fillId="0" borderId="21" xfId="0" applyNumberFormat="1" applyFont="1" applyFill="1" applyBorder="1" applyAlignment="1">
      <alignment horizontal="left" vertical="center" wrapText="1"/>
    </xf>
    <xf numFmtId="49" fontId="99" fillId="52" borderId="21" xfId="0" applyNumberFormat="1" applyFont="1" applyFill="1" applyBorder="1" applyAlignment="1">
      <alignment horizontal="left" vertical="center" wrapText="1"/>
    </xf>
    <xf numFmtId="192" fontId="0" fillId="0" borderId="21" xfId="0" applyNumberFormat="1" applyFill="1" applyBorder="1" applyAlignment="1">
      <alignment horizontal="right" vertical="center"/>
    </xf>
    <xf numFmtId="192" fontId="0" fillId="0" borderId="21" xfId="0" applyNumberFormat="1" applyBorder="1" applyAlignment="1">
      <alignment horizontal="center" vertical="center"/>
    </xf>
    <xf numFmtId="0" fontId="6" fillId="0" borderId="21" xfId="1512" applyFont="1" applyBorder="1" applyAlignment="1">
      <alignment horizontal="left" vertical="center"/>
    </xf>
    <xf numFmtId="0" fontId="6" fillId="53" borderId="21" xfId="1512" applyFont="1" applyFill="1" applyBorder="1" applyAlignment="1">
      <alignment horizontal="left" vertical="center"/>
    </xf>
    <xf numFmtId="0" fontId="84" fillId="0" borderId="21" xfId="1512" applyFont="1" applyBorder="1" applyAlignment="1">
      <alignment vertical="center" wrapText="1"/>
    </xf>
    <xf numFmtId="0" fontId="6" fillId="0" borderId="21" xfId="1512" applyFont="1" applyBorder="1">
      <alignment vertical="center"/>
    </xf>
    <xf numFmtId="0" fontId="6" fillId="0" borderId="21" xfId="1512" applyFont="1" applyBorder="1" applyAlignment="1">
      <alignment horizontal="center" vertical="center"/>
    </xf>
    <xf numFmtId="3" fontId="6" fillId="0" borderId="21" xfId="1512" applyNumberFormat="1" applyFont="1" applyBorder="1" applyAlignment="1">
      <alignment horizontal="center" vertical="center"/>
    </xf>
    <xf numFmtId="3" fontId="6" fillId="0" borderId="21" xfId="1512" applyNumberFormat="1" applyFont="1" applyFill="1" applyBorder="1" applyAlignment="1">
      <alignment horizontal="center" vertical="center"/>
    </xf>
    <xf numFmtId="0" fontId="101" fillId="0" borderId="21" xfId="4994" applyFont="1" applyBorder="1" applyAlignment="1">
      <alignment horizontal="center" vertical="center"/>
    </xf>
    <xf numFmtId="3" fontId="6" fillId="0" borderId="21" xfId="4994" applyNumberFormat="1" applyFont="1" applyBorder="1" applyAlignment="1">
      <alignment horizontal="center" vertical="center"/>
    </xf>
    <xf numFmtId="4" fontId="6" fillId="0" borderId="21" xfId="4994" applyNumberFormat="1" applyFont="1" applyBorder="1" applyAlignment="1">
      <alignment horizontal="center" vertical="center"/>
    </xf>
    <xf numFmtId="4" fontId="6" fillId="0" borderId="21" xfId="4994" applyNumberFormat="1" applyFont="1" applyBorder="1" applyAlignment="1">
      <alignment horizontal="center" vertical="center"/>
    </xf>
    <xf numFmtId="0" fontId="74" fillId="0" borderId="21" xfId="1523" applyNumberFormat="1" applyFont="1" applyFill="1" applyBorder="1" applyAlignment="1" applyProtection="1">
      <alignment horizontal="center" vertical="center" wrapText="1"/>
    </xf>
    <xf numFmtId="191" fontId="69" fillId="0" borderId="21" xfId="2835" applyNumberFormat="1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185" fontId="69" fillId="0" borderId="21" xfId="1213" applyNumberFormat="1" applyFont="1" applyFill="1" applyBorder="1" applyAlignment="1" applyProtection="1">
      <alignment vertical="center" wrapText="1"/>
    </xf>
    <xf numFmtId="0" fontId="8" fillId="0" borderId="21" xfId="1523" applyFont="1" applyBorder="1" applyAlignment="1">
      <alignment vertical="center"/>
    </xf>
    <xf numFmtId="0" fontId="2" fillId="0" borderId="21" xfId="1523" applyBorder="1" applyAlignment="1"/>
    <xf numFmtId="0" fontId="6" fillId="0" borderId="21" xfId="4994" applyFont="1" applyBorder="1" applyAlignment="1">
      <alignment vertical="center" wrapText="1"/>
    </xf>
    <xf numFmtId="0" fontId="6" fillId="0" borderId="21" xfId="4992" applyFont="1" applyBorder="1" applyAlignment="1">
      <alignment horizontal="left" vertical="center"/>
    </xf>
    <xf numFmtId="0" fontId="6" fillId="0" borderId="21" xfId="4994" applyFont="1" applyFill="1" applyBorder="1" applyAlignment="1">
      <alignment horizontal="center" vertical="center" wrapText="1"/>
    </xf>
    <xf numFmtId="3" fontId="6" fillId="0" borderId="21" xfId="4994" applyNumberFormat="1" applyFont="1" applyFill="1" applyBorder="1" applyAlignment="1">
      <alignment horizontal="center" vertical="center"/>
    </xf>
    <xf numFmtId="0" fontId="2" fillId="0" borderId="0" xfId="4130" applyAlignment="1"/>
    <xf numFmtId="0" fontId="8" fillId="0" borderId="0" xfId="4130" applyFont="1" applyAlignment="1"/>
    <xf numFmtId="0" fontId="103" fillId="0" borderId="0" xfId="4130" applyFont="1" applyAlignment="1">
      <alignment horizontal="left" vertical="center"/>
    </xf>
    <xf numFmtId="0" fontId="99" fillId="0" borderId="0" xfId="4130" applyFont="1" applyBorder="1" applyAlignment="1">
      <alignment horizontal="right" vertical="center"/>
    </xf>
    <xf numFmtId="0" fontId="104" fillId="0" borderId="21" xfId="194" applyFont="1" applyBorder="1" applyAlignment="1">
      <alignment horizontal="center" vertical="center"/>
    </xf>
    <xf numFmtId="0" fontId="54" fillId="0" borderId="21" xfId="194" applyFont="1" applyBorder="1" applyAlignment="1">
      <alignment horizontal="center" vertical="center" wrapText="1"/>
    </xf>
    <xf numFmtId="0" fontId="2" fillId="0" borderId="21" xfId="1837" applyFont="1" applyBorder="1" applyAlignment="1">
      <alignment horizontal="center" vertical="center"/>
    </xf>
    <xf numFmtId="0" fontId="106" fillId="0" borderId="0" xfId="1837" applyFont="1" applyFill="1">
      <alignment vertical="center"/>
    </xf>
    <xf numFmtId="0" fontId="83" fillId="0" borderId="21" xfId="1837" applyFont="1" applyFill="1" applyBorder="1" applyAlignment="1">
      <alignment horizontal="center" vertical="center"/>
    </xf>
    <xf numFmtId="0" fontId="107" fillId="0" borderId="21" xfId="1837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8" fillId="0" borderId="21" xfId="2804" applyFont="1" applyBorder="1" applyAlignment="1">
      <alignment horizontal="center" vertical="center"/>
    </xf>
    <xf numFmtId="0" fontId="58" fillId="0" borderId="21" xfId="2393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6" fillId="0" borderId="21" xfId="2817" applyFont="1" applyBorder="1" applyAlignment="1">
      <alignment horizontal="center" vertical="center"/>
    </xf>
    <xf numFmtId="0" fontId="56" fillId="0" borderId="21" xfId="2817" applyFont="1" applyBorder="1" applyAlignment="1">
      <alignment vertical="center"/>
    </xf>
    <xf numFmtId="0" fontId="56" fillId="0" borderId="21" xfId="2817" applyFont="1" applyBorder="1" applyAlignment="1">
      <alignment horizontal="left" vertical="center" wrapText="1"/>
    </xf>
    <xf numFmtId="0" fontId="0" fillId="0" borderId="0" xfId="0">
      <alignment vertical="center"/>
    </xf>
    <xf numFmtId="0" fontId="9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90" fontId="56" fillId="0" borderId="21" xfId="2817" applyNumberFormat="1" applyFont="1" applyFill="1" applyBorder="1" applyAlignment="1">
      <alignment horizontal="center" vertical="center"/>
    </xf>
    <xf numFmtId="0" fontId="56" fillId="0" borderId="21" xfId="2817" applyFont="1" applyBorder="1" applyAlignment="1">
      <alignment horizontal="center" vertical="center" wrapText="1"/>
    </xf>
    <xf numFmtId="4" fontId="6" fillId="0" borderId="21" xfId="4994" applyNumberFormat="1" applyFont="1" applyBorder="1" applyAlignment="1">
      <alignment horizontal="center" vertical="center"/>
    </xf>
    <xf numFmtId="190" fontId="56" fillId="0" borderId="21" xfId="0" applyNumberFormat="1" applyFont="1" applyBorder="1" applyAlignment="1">
      <alignment horizontal="center" vertical="center"/>
    </xf>
    <xf numFmtId="3" fontId="6" fillId="0" borderId="21" xfId="4994" applyNumberFormat="1" applyFont="1" applyBorder="1" applyAlignment="1">
      <alignment horizontal="center" vertical="center"/>
    </xf>
    <xf numFmtId="3" fontId="6" fillId="0" borderId="21" xfId="1512" applyNumberFormat="1" applyFont="1" applyBorder="1" applyAlignment="1">
      <alignment horizontal="center" vertical="center"/>
    </xf>
    <xf numFmtId="4" fontId="6" fillId="0" borderId="21" xfId="4994" applyNumberFormat="1" applyFont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21" xfId="4116" applyNumberFormat="1" applyFont="1" applyFill="1" applyBorder="1" applyAlignment="1">
      <alignment horizontal="left" vertical="center"/>
    </xf>
    <xf numFmtId="49" fontId="0" fillId="52" borderId="21" xfId="0" applyNumberFormat="1" applyFont="1" applyFill="1" applyBorder="1" applyAlignment="1">
      <alignment horizontal="left" vertical="center" wrapText="1"/>
    </xf>
    <xf numFmtId="49" fontId="0" fillId="53" borderId="21" xfId="0" applyNumberFormat="1" applyFill="1" applyBorder="1" applyAlignment="1">
      <alignment horizontal="left" vertical="center" wrapText="1"/>
    </xf>
    <xf numFmtId="0" fontId="2" fillId="0" borderId="21" xfId="4116" applyBorder="1" applyAlignment="1">
      <alignment horizontal="left" vertical="center"/>
    </xf>
    <xf numFmtId="49" fontId="99" fillId="51" borderId="21" xfId="0" applyNumberFormat="1" applyFont="1" applyFill="1" applyBorder="1" applyAlignment="1">
      <alignment horizontal="left" vertical="center" wrapText="1"/>
    </xf>
    <xf numFmtId="193" fontId="61" fillId="0" borderId="1" xfId="2801" applyNumberFormat="1" applyFont="1" applyFill="1" applyBorder="1" applyAlignment="1">
      <alignment horizontal="center" wrapText="1"/>
    </xf>
    <xf numFmtId="193" fontId="61" fillId="0" borderId="1" xfId="2801" applyNumberFormat="1" applyFont="1" applyFill="1" applyBorder="1" applyAlignment="1">
      <alignment horizontal="center"/>
    </xf>
    <xf numFmtId="193" fontId="0" fillId="0" borderId="1" xfId="0" applyNumberFormat="1" applyBorder="1" applyAlignment="1">
      <alignment horizontal="center" vertical="center"/>
    </xf>
    <xf numFmtId="193" fontId="0" fillId="0" borderId="21" xfId="0" applyNumberFormat="1" applyBorder="1" applyAlignment="1">
      <alignment horizontal="center" vertical="center"/>
    </xf>
    <xf numFmtId="192" fontId="2" fillId="0" borderId="21" xfId="0" applyNumberFormat="1" applyFont="1" applyFill="1" applyBorder="1" applyAlignment="1">
      <alignment horizontal="right" vertical="center"/>
    </xf>
    <xf numFmtId="193" fontId="0" fillId="0" borderId="1" xfId="0" applyNumberFormat="1" applyBorder="1" applyAlignment="1">
      <alignment horizontal="right" vertical="center"/>
    </xf>
    <xf numFmtId="192" fontId="58" fillId="0" borderId="21" xfId="2393" applyNumberFormat="1" applyFont="1" applyFill="1" applyBorder="1" applyAlignment="1">
      <alignment horizontal="center" vertical="center" wrapText="1"/>
    </xf>
    <xf numFmtId="192" fontId="6" fillId="0" borderId="21" xfId="4994" applyNumberFormat="1" applyFont="1" applyBorder="1" applyAlignment="1">
      <alignment horizontal="center" vertical="center"/>
    </xf>
    <xf numFmtId="192" fontId="55" fillId="0" borderId="21" xfId="1530" applyNumberFormat="1" applyFont="1" applyBorder="1" applyAlignment="1">
      <alignment horizontal="center" vertical="center"/>
    </xf>
    <xf numFmtId="194" fontId="6" fillId="0" borderId="21" xfId="4994" applyNumberFormat="1" applyFont="1" applyBorder="1" applyAlignment="1">
      <alignment horizontal="center" vertical="center"/>
    </xf>
    <xf numFmtId="194" fontId="55" fillId="0" borderId="21" xfId="1530" applyNumberFormat="1" applyFont="1" applyBorder="1" applyAlignment="1">
      <alignment horizontal="center" vertical="center"/>
    </xf>
    <xf numFmtId="0" fontId="57" fillId="0" borderId="1" xfId="1526" applyFont="1" applyBorder="1" applyAlignment="1">
      <alignment horizontal="center" vertical="center" wrapText="1"/>
    </xf>
    <xf numFmtId="0" fontId="55" fillId="0" borderId="1" xfId="1526" applyFont="1" applyBorder="1" applyAlignment="1">
      <alignment horizontal="center" vertical="center" wrapText="1"/>
    </xf>
    <xf numFmtId="194" fontId="55" fillId="0" borderId="1" xfId="1502" applyNumberFormat="1" applyFont="1" applyBorder="1">
      <alignment vertical="center"/>
    </xf>
    <xf numFmtId="194" fontId="99" fillId="0" borderId="1" xfId="0" applyNumberFormat="1" applyFont="1" applyFill="1" applyBorder="1" applyAlignment="1">
      <alignment horizontal="right" vertical="center" wrapText="1"/>
    </xf>
    <xf numFmtId="194" fontId="0" fillId="0" borderId="1" xfId="0" applyNumberFormat="1" applyBorder="1" applyAlignment="1">
      <alignment vertical="center"/>
    </xf>
    <xf numFmtId="0" fontId="99" fillId="0" borderId="21" xfId="0" applyFont="1" applyBorder="1" applyAlignment="1">
      <alignment horizontal="left" vertical="center"/>
    </xf>
    <xf numFmtId="194" fontId="55" fillId="0" borderId="21" xfId="1502" applyNumberFormat="1" applyFont="1" applyBorder="1">
      <alignment vertical="center"/>
    </xf>
    <xf numFmtId="194" fontId="99" fillId="0" borderId="21" xfId="0" applyNumberFormat="1" applyFont="1" applyFill="1" applyBorder="1" applyAlignment="1">
      <alignment horizontal="right" vertical="center" wrapText="1"/>
    </xf>
    <xf numFmtId="0" fontId="6" fillId="0" borderId="21" xfId="4994" applyFont="1" applyFill="1" applyBorder="1" applyAlignment="1">
      <alignment vertical="center" wrapText="1"/>
    </xf>
    <xf numFmtId="0" fontId="2" fillId="0" borderId="0" xfId="1837" applyFont="1" applyAlignment="1">
      <alignment horizontal="left" vertical="center"/>
    </xf>
    <xf numFmtId="0" fontId="89" fillId="0" borderId="20" xfId="1837" applyFont="1" applyBorder="1" applyAlignment="1">
      <alignment horizontal="left" vertical="center" wrapText="1"/>
    </xf>
    <xf numFmtId="0" fontId="89" fillId="0" borderId="0" xfId="1837" applyFont="1" applyBorder="1" applyAlignment="1">
      <alignment horizontal="left" vertical="center" wrapText="1"/>
    </xf>
    <xf numFmtId="0" fontId="92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1" fillId="0" borderId="1" xfId="1837" applyFont="1" applyFill="1" applyBorder="1" applyAlignment="1">
      <alignment horizontal="left" vertical="center"/>
    </xf>
    <xf numFmtId="0" fontId="91" fillId="0" borderId="21" xfId="1837" applyFont="1" applyFill="1" applyBorder="1" applyAlignment="1">
      <alignment horizontal="left" vertical="center"/>
    </xf>
    <xf numFmtId="0" fontId="86" fillId="0" borderId="0" xfId="2393" applyFont="1" applyFill="1" applyAlignment="1">
      <alignment horizontal="center"/>
    </xf>
    <xf numFmtId="0" fontId="82" fillId="0" borderId="0" xfId="1530" applyFont="1" applyAlignment="1">
      <alignment horizontal="center" vertical="center"/>
    </xf>
    <xf numFmtId="0" fontId="97" fillId="0" borderId="20" xfId="1530" applyFont="1" applyBorder="1" applyAlignment="1">
      <alignment horizontal="left" vertical="center" wrapText="1"/>
    </xf>
    <xf numFmtId="0" fontId="82" fillId="0" borderId="0" xfId="1526" applyFont="1" applyAlignment="1">
      <alignment horizontal="center" vertical="center"/>
    </xf>
    <xf numFmtId="0" fontId="86" fillId="0" borderId="0" xfId="2852" applyFont="1" applyAlignment="1">
      <alignment horizontal="center" vertical="center"/>
    </xf>
    <xf numFmtId="0" fontId="95" fillId="0" borderId="20" xfId="0" applyFont="1" applyBorder="1" applyAlignment="1">
      <alignment horizontal="left" vertical="center" wrapText="1"/>
    </xf>
    <xf numFmtId="0" fontId="2" fillId="0" borderId="20" xfId="1688" applyFont="1" applyBorder="1" applyAlignment="1">
      <alignment vertical="center" wrapText="1"/>
    </xf>
    <xf numFmtId="0" fontId="2" fillId="0" borderId="20" xfId="1688" applyBorder="1" applyAlignment="1">
      <alignment vertical="center" wrapText="1"/>
    </xf>
    <xf numFmtId="0" fontId="10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5" fillId="0" borderId="0" xfId="0" applyFont="1" applyFill="1" applyAlignment="1">
      <alignment horizontal="left" vertical="center" wrapText="1"/>
    </xf>
    <xf numFmtId="0" fontId="82" fillId="0" borderId="0" xfId="1502" applyFont="1" applyAlignment="1">
      <alignment horizontal="center" vertical="center"/>
    </xf>
    <xf numFmtId="0" fontId="89" fillId="0" borderId="20" xfId="0" applyFont="1" applyBorder="1" applyAlignment="1">
      <alignment horizontal="left" vertical="center" wrapText="1"/>
    </xf>
    <xf numFmtId="0" fontId="82" fillId="0" borderId="0" xfId="1523" applyNumberFormat="1" applyFont="1" applyFill="1" applyBorder="1" applyAlignment="1" applyProtection="1">
      <alignment horizontal="center" vertical="center"/>
    </xf>
    <xf numFmtId="0" fontId="100" fillId="0" borderId="21" xfId="1512" applyFont="1" applyBorder="1" applyAlignment="1">
      <alignment horizontal="left" vertical="center"/>
    </xf>
    <xf numFmtId="3" fontId="6" fillId="0" borderId="21" xfId="4994" applyNumberFormat="1" applyFont="1" applyBorder="1" applyAlignment="1">
      <alignment horizontal="center" vertical="center"/>
    </xf>
    <xf numFmtId="3" fontId="6" fillId="0" borderId="21" xfId="1512" applyNumberFormat="1" applyFont="1" applyBorder="1" applyAlignment="1">
      <alignment horizontal="center" vertical="center"/>
    </xf>
    <xf numFmtId="4" fontId="6" fillId="0" borderId="21" xfId="4994" applyNumberFormat="1" applyFont="1" applyBorder="1" applyAlignment="1">
      <alignment horizontal="center" vertical="center"/>
    </xf>
    <xf numFmtId="0" fontId="104" fillId="0" borderId="21" xfId="194" applyFont="1" applyBorder="1" applyAlignment="1">
      <alignment horizontal="center" vertical="center"/>
    </xf>
    <xf numFmtId="0" fontId="54" fillId="0" borderId="21" xfId="194" applyFont="1" applyBorder="1" applyAlignment="1">
      <alignment horizontal="left" vertical="center"/>
    </xf>
    <xf numFmtId="0" fontId="105" fillId="0" borderId="0" xfId="4130" applyFont="1" applyAlignment="1">
      <alignment horizontal="left" vertical="center" wrapText="1"/>
    </xf>
    <xf numFmtId="0" fontId="102" fillId="0" borderId="0" xfId="4130" applyFont="1" applyAlignment="1">
      <alignment horizontal="center" vertical="center"/>
    </xf>
    <xf numFmtId="0" fontId="95" fillId="0" borderId="0" xfId="4130" applyFont="1" applyAlignment="1">
      <alignment horizontal="left" vertical="center" wrapText="1"/>
    </xf>
  </cellXfs>
  <cellStyles count="4995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4 2" xfId="4994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常规_社保基金预算表" xfId="4992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2 2 2" xfId="499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4" zoomScale="85" zoomScaleNormal="85" workbookViewId="0">
      <selection activeCell="I10" sqref="I10"/>
    </sheetView>
  </sheetViews>
  <sheetFormatPr defaultColWidth="9" defaultRowHeight="14.25"/>
  <cols>
    <col min="1" max="1" width="4.375" style="85" customWidth="1"/>
    <col min="2" max="2" width="69.125" style="3" customWidth="1"/>
    <col min="3" max="3" width="14.25" style="85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210"/>
      <c r="B1" s="210"/>
    </row>
    <row r="2" spans="1:3" s="1" customFormat="1" ht="22.5">
      <c r="A2" s="213" t="s">
        <v>783</v>
      </c>
      <c r="B2" s="213"/>
      <c r="C2" s="213"/>
    </row>
    <row r="3" spans="1:3">
      <c r="A3" s="214"/>
      <c r="B3" s="214"/>
    </row>
    <row r="4" spans="1:3" ht="25.15" customHeight="1">
      <c r="A4" s="215" t="s">
        <v>799</v>
      </c>
      <c r="B4" s="215"/>
      <c r="C4" s="96" t="s">
        <v>227</v>
      </c>
    </row>
    <row r="5" spans="1:3" s="2" customFormat="1" ht="25.15" customHeight="1">
      <c r="A5" s="109" t="s">
        <v>0</v>
      </c>
      <c r="B5" s="110" t="s">
        <v>784</v>
      </c>
      <c r="C5" s="90" t="s">
        <v>228</v>
      </c>
    </row>
    <row r="6" spans="1:3" s="2" customFormat="1" ht="25.15" customHeight="1">
      <c r="A6" s="109" t="s">
        <v>1</v>
      </c>
      <c r="B6" s="110" t="s">
        <v>785</v>
      </c>
      <c r="C6" s="90" t="s">
        <v>159</v>
      </c>
    </row>
    <row r="7" spans="1:3" s="2" customFormat="1" ht="25.15" customHeight="1">
      <c r="A7" s="109" t="s">
        <v>2</v>
      </c>
      <c r="B7" s="110" t="s">
        <v>786</v>
      </c>
      <c r="C7" s="90" t="s">
        <v>228</v>
      </c>
    </row>
    <row r="8" spans="1:3" s="2" customFormat="1" ht="25.15" customHeight="1">
      <c r="A8" s="109" t="s">
        <v>3</v>
      </c>
      <c r="B8" s="110" t="s">
        <v>787</v>
      </c>
      <c r="C8" s="90" t="s">
        <v>159</v>
      </c>
    </row>
    <row r="9" spans="1:3" s="2" customFormat="1" ht="25.15" customHeight="1">
      <c r="A9" s="109" t="s">
        <v>759</v>
      </c>
      <c r="B9" s="110" t="s">
        <v>788</v>
      </c>
      <c r="C9" s="90" t="s">
        <v>159</v>
      </c>
    </row>
    <row r="10" spans="1:3" s="2" customFormat="1" ht="25.15" customHeight="1">
      <c r="A10" s="109" t="s">
        <v>760</v>
      </c>
      <c r="B10" s="110" t="s">
        <v>789</v>
      </c>
      <c r="C10" s="90" t="s">
        <v>159</v>
      </c>
    </row>
    <row r="11" spans="1:3" s="2" customFormat="1" ht="25.15" customHeight="1">
      <c r="A11" s="109" t="s">
        <v>761</v>
      </c>
      <c r="B11" s="110" t="s">
        <v>790</v>
      </c>
      <c r="C11" s="90" t="s">
        <v>159</v>
      </c>
    </row>
    <row r="12" spans="1:3" s="2" customFormat="1" ht="25.15" customHeight="1">
      <c r="A12" s="109" t="s">
        <v>762</v>
      </c>
      <c r="B12" s="110" t="s">
        <v>791</v>
      </c>
      <c r="C12" s="90" t="s">
        <v>159</v>
      </c>
    </row>
    <row r="13" spans="1:3" s="2" customFormat="1" ht="25.15" customHeight="1">
      <c r="A13" s="109" t="s">
        <v>763</v>
      </c>
      <c r="B13" s="110" t="s">
        <v>792</v>
      </c>
      <c r="C13" s="90" t="s">
        <v>159</v>
      </c>
    </row>
    <row r="14" spans="1:3" s="2" customFormat="1" ht="25.15" customHeight="1">
      <c r="A14" s="109" t="s">
        <v>764</v>
      </c>
      <c r="B14" s="110" t="s">
        <v>793</v>
      </c>
      <c r="C14" s="90" t="s">
        <v>159</v>
      </c>
    </row>
    <row r="15" spans="1:3" s="2" customFormat="1" ht="25.15" customHeight="1">
      <c r="A15" s="109" t="s">
        <v>765</v>
      </c>
      <c r="B15" s="110" t="s">
        <v>794</v>
      </c>
      <c r="C15" s="90" t="s">
        <v>159</v>
      </c>
    </row>
    <row r="16" spans="1:3" s="2" customFormat="1" ht="25.15" customHeight="1">
      <c r="A16" s="109" t="s">
        <v>766</v>
      </c>
      <c r="B16" s="110" t="s">
        <v>795</v>
      </c>
      <c r="C16" s="90" t="s">
        <v>159</v>
      </c>
    </row>
    <row r="17" spans="1:9" s="2" customFormat="1" ht="25.15" customHeight="1">
      <c r="A17" s="109" t="s">
        <v>767</v>
      </c>
      <c r="B17" s="110" t="s">
        <v>796</v>
      </c>
      <c r="C17" s="90" t="s">
        <v>159</v>
      </c>
    </row>
    <row r="18" spans="1:9" s="2" customFormat="1" ht="25.15" customHeight="1">
      <c r="A18" s="109" t="s">
        <v>768</v>
      </c>
      <c r="B18" s="110" t="s">
        <v>797</v>
      </c>
      <c r="C18" s="90" t="s">
        <v>159</v>
      </c>
    </row>
    <row r="19" spans="1:9" s="2" customFormat="1" ht="25.15" customHeight="1">
      <c r="A19" s="109" t="s">
        <v>769</v>
      </c>
      <c r="B19" s="110" t="s">
        <v>798</v>
      </c>
      <c r="C19" s="90" t="s">
        <v>159</v>
      </c>
    </row>
    <row r="20" spans="1:9" ht="25.15" customHeight="1">
      <c r="A20" s="216" t="s">
        <v>800</v>
      </c>
      <c r="B20" s="216"/>
      <c r="C20" s="160"/>
      <c r="H20" s="161"/>
      <c r="I20" s="161"/>
    </row>
    <row r="21" spans="1:9" ht="25.15" customHeight="1">
      <c r="A21" s="162" t="s">
        <v>737</v>
      </c>
      <c r="B21" s="163" t="s">
        <v>738</v>
      </c>
      <c r="C21" s="160" t="s">
        <v>739</v>
      </c>
      <c r="H21" s="161"/>
      <c r="I21" s="161"/>
    </row>
    <row r="22" spans="1:9" ht="25.15" customHeight="1">
      <c r="A22" s="162" t="s">
        <v>740</v>
      </c>
      <c r="B22" s="163" t="s">
        <v>772</v>
      </c>
      <c r="C22" s="160" t="s">
        <v>739</v>
      </c>
      <c r="H22" s="161"/>
      <c r="I22" s="161"/>
    </row>
    <row r="23" spans="1:9" ht="15.6" customHeight="1">
      <c r="A23" s="211"/>
      <c r="B23" s="211"/>
      <c r="C23" s="211"/>
    </row>
    <row r="24" spans="1:9">
      <c r="A24" s="212"/>
      <c r="B24" s="212"/>
      <c r="C24" s="212"/>
    </row>
    <row r="25" spans="1:9" ht="42.6" customHeight="1">
      <c r="A25" s="212"/>
      <c r="B25" s="212"/>
      <c r="C25" s="212"/>
    </row>
  </sheetData>
  <mergeCells count="6">
    <mergeCell ref="A1:B1"/>
    <mergeCell ref="A23:C25"/>
    <mergeCell ref="A2:C2"/>
    <mergeCell ref="A3:B3"/>
    <mergeCell ref="A4:B4"/>
    <mergeCell ref="A20:B20"/>
  </mergeCells>
  <phoneticPr fontId="93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Zeros="0" zoomScaleNormal="100" workbookViewId="0">
      <selection activeCell="B31" sqref="B31:B33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143</v>
      </c>
      <c r="B1" s="4"/>
    </row>
    <row r="2" spans="1:7" ht="20.25">
      <c r="A2" s="217" t="s">
        <v>801</v>
      </c>
      <c r="B2" s="217"/>
      <c r="C2" s="217"/>
      <c r="D2" s="217"/>
    </row>
    <row r="3" spans="1:7">
      <c r="A3" s="5"/>
      <c r="B3" s="4"/>
      <c r="D3" s="8" t="s">
        <v>32</v>
      </c>
    </row>
    <row r="4" spans="1:7" ht="44.45" customHeight="1">
      <c r="A4" s="71" t="s">
        <v>119</v>
      </c>
      <c r="B4" s="72" t="s">
        <v>31</v>
      </c>
      <c r="C4" s="73" t="s">
        <v>225</v>
      </c>
      <c r="D4" s="100" t="s">
        <v>229</v>
      </c>
    </row>
    <row r="5" spans="1:7">
      <c r="A5" s="16" t="s">
        <v>4</v>
      </c>
      <c r="B5" s="10">
        <f>SUBTOTAL(9,B6:B21)</f>
        <v>1185400</v>
      </c>
      <c r="C5" s="10">
        <f>SUBTOTAL(9,C6:C21)</f>
        <v>946900</v>
      </c>
      <c r="D5" s="122">
        <f>IF(C5&lt;&gt;0,B5/C5*100,0)</f>
        <v>125.19</v>
      </c>
    </row>
    <row r="6" spans="1:7">
      <c r="A6" s="9" t="s">
        <v>9</v>
      </c>
      <c r="B6" s="10">
        <v>387800</v>
      </c>
      <c r="C6" s="10">
        <v>363300</v>
      </c>
      <c r="D6" s="122">
        <f t="shared" ref="D6:D44" si="0">IF(C6&lt;&gt;0,B6/C6*100,0)</f>
        <v>106.74</v>
      </c>
    </row>
    <row r="7" spans="1:7">
      <c r="A7" s="9" t="s">
        <v>226</v>
      </c>
      <c r="B7" s="10"/>
      <c r="C7" s="10"/>
      <c r="D7" s="122">
        <f t="shared" si="0"/>
        <v>0</v>
      </c>
    </row>
    <row r="8" spans="1:7">
      <c r="A8" s="9" t="s">
        <v>10</v>
      </c>
      <c r="B8" s="10">
        <v>183200</v>
      </c>
      <c r="C8" s="10">
        <v>175000</v>
      </c>
      <c r="D8" s="122">
        <f t="shared" si="0"/>
        <v>104.69</v>
      </c>
    </row>
    <row r="9" spans="1:7">
      <c r="A9" s="9" t="s">
        <v>11</v>
      </c>
      <c r="B9" s="10"/>
      <c r="C9" s="10"/>
      <c r="D9" s="122">
        <f t="shared" si="0"/>
        <v>0</v>
      </c>
      <c r="G9" s="45"/>
    </row>
    <row r="10" spans="1:7">
      <c r="A10" s="9" t="s">
        <v>12</v>
      </c>
      <c r="B10" s="10">
        <v>94100</v>
      </c>
      <c r="C10" s="10">
        <v>94100</v>
      </c>
      <c r="D10" s="122">
        <f t="shared" si="0"/>
        <v>100</v>
      </c>
    </row>
    <row r="11" spans="1:7">
      <c r="A11" s="9" t="s">
        <v>13</v>
      </c>
      <c r="B11" s="10">
        <v>1700</v>
      </c>
      <c r="C11" s="10">
        <v>1000</v>
      </c>
      <c r="D11" s="122">
        <f t="shared" si="0"/>
        <v>170</v>
      </c>
    </row>
    <row r="12" spans="1:7">
      <c r="A12" s="9" t="s">
        <v>14</v>
      </c>
      <c r="B12" s="10">
        <v>99300</v>
      </c>
      <c r="C12" s="10">
        <v>57800</v>
      </c>
      <c r="D12" s="122">
        <f t="shared" si="0"/>
        <v>171.8</v>
      </c>
    </row>
    <row r="13" spans="1:7">
      <c r="A13" s="9" t="s">
        <v>15</v>
      </c>
      <c r="B13" s="10">
        <v>52800</v>
      </c>
      <c r="C13" s="10">
        <v>34000</v>
      </c>
      <c r="D13" s="122">
        <f t="shared" si="0"/>
        <v>155.29</v>
      </c>
    </row>
    <row r="14" spans="1:7">
      <c r="A14" s="9" t="s">
        <v>16</v>
      </c>
      <c r="B14" s="10">
        <v>44300</v>
      </c>
      <c r="C14" s="10">
        <v>29000</v>
      </c>
      <c r="D14" s="122">
        <f t="shared" si="0"/>
        <v>152.76</v>
      </c>
    </row>
    <row r="15" spans="1:7">
      <c r="A15" s="9" t="s">
        <v>17</v>
      </c>
      <c r="B15" s="10">
        <v>47600</v>
      </c>
      <c r="C15" s="10">
        <v>31200</v>
      </c>
      <c r="D15" s="122">
        <f t="shared" si="0"/>
        <v>152.56</v>
      </c>
    </row>
    <row r="16" spans="1:7">
      <c r="A16" s="9" t="s">
        <v>18</v>
      </c>
      <c r="B16" s="10">
        <v>141900</v>
      </c>
      <c r="C16" s="10">
        <v>83400</v>
      </c>
      <c r="D16" s="122">
        <f t="shared" si="0"/>
        <v>170.14</v>
      </c>
    </row>
    <row r="17" spans="1:4">
      <c r="A17" s="9" t="s">
        <v>19</v>
      </c>
      <c r="B17" s="10">
        <v>25500</v>
      </c>
      <c r="C17" s="10">
        <v>15000</v>
      </c>
      <c r="D17" s="122">
        <f t="shared" si="0"/>
        <v>170</v>
      </c>
    </row>
    <row r="18" spans="1:4">
      <c r="A18" s="9" t="s">
        <v>20</v>
      </c>
      <c r="B18" s="10">
        <v>17000</v>
      </c>
      <c r="C18" s="10">
        <v>10000</v>
      </c>
      <c r="D18" s="122">
        <f t="shared" si="0"/>
        <v>170</v>
      </c>
    </row>
    <row r="19" spans="1:4">
      <c r="A19" s="9" t="s">
        <v>21</v>
      </c>
      <c r="B19" s="10">
        <v>88400</v>
      </c>
      <c r="C19" s="10">
        <v>52000</v>
      </c>
      <c r="D19" s="122">
        <f t="shared" si="0"/>
        <v>170</v>
      </c>
    </row>
    <row r="20" spans="1:4">
      <c r="A20" s="9" t="s">
        <v>802</v>
      </c>
      <c r="B20" s="10">
        <v>1700</v>
      </c>
      <c r="C20" s="10">
        <v>1000</v>
      </c>
      <c r="D20" s="122">
        <f t="shared" si="0"/>
        <v>170</v>
      </c>
    </row>
    <row r="21" spans="1:4">
      <c r="A21" s="9" t="s">
        <v>22</v>
      </c>
      <c r="B21" s="10">
        <v>100</v>
      </c>
      <c r="C21" s="10">
        <v>100</v>
      </c>
      <c r="D21" s="122">
        <f t="shared" si="0"/>
        <v>100</v>
      </c>
    </row>
    <row r="22" spans="1:4">
      <c r="A22" s="16" t="s">
        <v>5</v>
      </c>
      <c r="B22" s="10">
        <f>SUBTOTAL(9,B23:B30)</f>
        <v>228100</v>
      </c>
      <c r="C22" s="10">
        <f>SUBTOTAL(9,C23:C30)</f>
        <v>432100</v>
      </c>
      <c r="D22" s="122">
        <f t="shared" si="0"/>
        <v>52.79</v>
      </c>
    </row>
    <row r="23" spans="1:4">
      <c r="A23" s="9" t="s">
        <v>23</v>
      </c>
      <c r="B23" s="10">
        <v>70000</v>
      </c>
      <c r="C23" s="10">
        <v>65000</v>
      </c>
      <c r="D23" s="122">
        <f t="shared" si="0"/>
        <v>107.69</v>
      </c>
    </row>
    <row r="24" spans="1:4">
      <c r="A24" s="9" t="s">
        <v>24</v>
      </c>
      <c r="B24" s="10">
        <v>5000</v>
      </c>
      <c r="C24" s="10">
        <v>7000</v>
      </c>
      <c r="D24" s="122">
        <f t="shared" si="0"/>
        <v>71.430000000000007</v>
      </c>
    </row>
    <row r="25" spans="1:4">
      <c r="A25" s="9" t="s">
        <v>25</v>
      </c>
      <c r="B25" s="10">
        <v>30000</v>
      </c>
      <c r="C25" s="10">
        <v>25000</v>
      </c>
      <c r="D25" s="122">
        <f t="shared" si="0"/>
        <v>120</v>
      </c>
    </row>
    <row r="26" spans="1:4">
      <c r="A26" s="9" t="s">
        <v>26</v>
      </c>
      <c r="B26" s="10">
        <v>13100</v>
      </c>
      <c r="C26" s="10">
        <v>50000</v>
      </c>
      <c r="D26" s="122">
        <f t="shared" si="0"/>
        <v>26.2</v>
      </c>
    </row>
    <row r="27" spans="1:4">
      <c r="A27" s="9" t="s">
        <v>27</v>
      </c>
      <c r="B27" s="10">
        <v>110000</v>
      </c>
      <c r="C27" s="10">
        <v>281100</v>
      </c>
      <c r="D27" s="122">
        <f t="shared" si="0"/>
        <v>39.130000000000003</v>
      </c>
    </row>
    <row r="28" spans="1:4">
      <c r="A28" s="9" t="s">
        <v>28</v>
      </c>
      <c r="B28" s="10"/>
      <c r="C28" s="10"/>
      <c r="D28" s="122">
        <f t="shared" si="0"/>
        <v>0</v>
      </c>
    </row>
    <row r="29" spans="1:4">
      <c r="A29" s="9" t="s">
        <v>29</v>
      </c>
      <c r="B29" s="10"/>
      <c r="C29" s="10"/>
      <c r="D29" s="122">
        <f t="shared" si="0"/>
        <v>0</v>
      </c>
    </row>
    <row r="30" spans="1:4">
      <c r="A30" s="9" t="s">
        <v>30</v>
      </c>
      <c r="B30" s="10"/>
      <c r="C30" s="10">
        <v>4000</v>
      </c>
      <c r="D30" s="122">
        <f t="shared" si="0"/>
        <v>0</v>
      </c>
    </row>
    <row r="31" spans="1:4">
      <c r="A31" s="18" t="s">
        <v>241</v>
      </c>
      <c r="B31" s="10">
        <f>SUBTOTAL(9,B5:B30)</f>
        <v>1413500</v>
      </c>
      <c r="C31" s="10">
        <f>SUBTOTAL(9,C5:C30)</f>
        <v>1379000</v>
      </c>
      <c r="D31" s="122">
        <f t="shared" si="0"/>
        <v>102.5</v>
      </c>
    </row>
    <row r="32" spans="1:4">
      <c r="A32" s="17" t="s">
        <v>33</v>
      </c>
      <c r="B32" s="10"/>
      <c r="C32" s="11"/>
      <c r="D32" s="122">
        <f t="shared" si="0"/>
        <v>0</v>
      </c>
    </row>
    <row r="33" spans="1:4">
      <c r="A33" s="17" t="s">
        <v>34</v>
      </c>
      <c r="B33" s="10">
        <f>SUBTOTAL(9,B34:B43)</f>
        <v>130096</v>
      </c>
      <c r="C33" s="10">
        <f>SUBTOTAL(9,C34:C43)</f>
        <v>127677</v>
      </c>
      <c r="D33" s="122">
        <f t="shared" si="0"/>
        <v>101.89</v>
      </c>
    </row>
    <row r="34" spans="1:4">
      <c r="A34" s="13" t="s">
        <v>115</v>
      </c>
      <c r="B34" s="10"/>
      <c r="C34" s="11"/>
      <c r="D34" s="122">
        <f t="shared" si="0"/>
        <v>0</v>
      </c>
    </row>
    <row r="35" spans="1:4">
      <c r="A35" s="67" t="s">
        <v>238</v>
      </c>
      <c r="B35" s="10">
        <v>41851</v>
      </c>
      <c r="C35" s="10">
        <v>41851</v>
      </c>
      <c r="D35" s="122">
        <f t="shared" si="0"/>
        <v>100</v>
      </c>
    </row>
    <row r="36" spans="1:4">
      <c r="A36" s="67" t="s">
        <v>239</v>
      </c>
      <c r="B36" s="10">
        <v>33245</v>
      </c>
      <c r="C36" s="11">
        <v>60826</v>
      </c>
      <c r="D36" s="122">
        <f t="shared" si="0"/>
        <v>54.66</v>
      </c>
    </row>
    <row r="37" spans="1:4">
      <c r="A37" s="67" t="s">
        <v>240</v>
      </c>
      <c r="B37" s="10"/>
      <c r="C37" s="11"/>
      <c r="D37" s="122">
        <f t="shared" si="0"/>
        <v>0</v>
      </c>
    </row>
    <row r="38" spans="1:4">
      <c r="A38" s="14" t="s">
        <v>237</v>
      </c>
      <c r="B38" s="10"/>
      <c r="C38" s="11"/>
      <c r="D38" s="122">
        <f t="shared" si="0"/>
        <v>0</v>
      </c>
    </row>
    <row r="39" spans="1:4">
      <c r="A39" s="12" t="s">
        <v>35</v>
      </c>
      <c r="B39" s="10"/>
      <c r="C39" s="11"/>
      <c r="D39" s="122">
        <f t="shared" si="0"/>
        <v>0</v>
      </c>
    </row>
    <row r="40" spans="1:4">
      <c r="A40" s="12" t="s">
        <v>36</v>
      </c>
      <c r="B40" s="10">
        <v>30000</v>
      </c>
      <c r="C40" s="11"/>
      <c r="D40" s="122">
        <f t="shared" si="0"/>
        <v>0</v>
      </c>
    </row>
    <row r="41" spans="1:4">
      <c r="A41" s="13" t="s">
        <v>280</v>
      </c>
      <c r="B41" s="10">
        <v>25000</v>
      </c>
      <c r="C41" s="11">
        <v>25000</v>
      </c>
      <c r="D41" s="122">
        <f t="shared" si="0"/>
        <v>100</v>
      </c>
    </row>
    <row r="42" spans="1:4">
      <c r="A42" s="15" t="s">
        <v>281</v>
      </c>
      <c r="B42" s="10"/>
      <c r="C42" s="11"/>
      <c r="D42" s="122">
        <f t="shared" si="0"/>
        <v>0</v>
      </c>
    </row>
    <row r="43" spans="1:4">
      <c r="A43" s="12" t="s">
        <v>37</v>
      </c>
      <c r="B43" s="10"/>
      <c r="C43" s="11"/>
      <c r="D43" s="122">
        <f t="shared" si="0"/>
        <v>0</v>
      </c>
    </row>
    <row r="44" spans="1:4">
      <c r="A44" s="18" t="s">
        <v>242</v>
      </c>
      <c r="B44" s="10">
        <f>B31+B32+B33</f>
        <v>1543596</v>
      </c>
      <c r="C44" s="10">
        <f>C31+C32+C33</f>
        <v>1506677</v>
      </c>
      <c r="D44" s="122">
        <f t="shared" si="0"/>
        <v>102.45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workbookViewId="0">
      <selection activeCell="A27" sqref="A27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52</v>
      </c>
      <c r="B1" s="4"/>
    </row>
    <row r="2" spans="1:7" ht="20.25">
      <c r="A2" s="217" t="s">
        <v>852</v>
      </c>
      <c r="B2" s="217"/>
      <c r="C2" s="217"/>
      <c r="D2" s="217"/>
    </row>
    <row r="3" spans="1:7">
      <c r="A3" s="5"/>
      <c r="B3" s="4"/>
      <c r="D3" s="8" t="s">
        <v>32</v>
      </c>
    </row>
    <row r="4" spans="1:7" ht="42.6" customHeight="1">
      <c r="A4" s="75" t="s">
        <v>51</v>
      </c>
      <c r="B4" s="75" t="s">
        <v>31</v>
      </c>
      <c r="C4" s="73" t="s">
        <v>225</v>
      </c>
      <c r="D4" s="100" t="s">
        <v>229</v>
      </c>
    </row>
    <row r="5" spans="1:7">
      <c r="A5" s="21" t="s">
        <v>311</v>
      </c>
      <c r="B5" s="132">
        <v>69711</v>
      </c>
      <c r="C5" s="132">
        <v>68912</v>
      </c>
      <c r="D5" s="123">
        <f>IF(C5&lt;&gt;0,B5/C5*100,0)</f>
        <v>101.16</v>
      </c>
    </row>
    <row r="6" spans="1:7">
      <c r="A6" s="21" t="s">
        <v>312</v>
      </c>
      <c r="B6" s="132">
        <v>2000</v>
      </c>
      <c r="C6" s="132">
        <v>2000</v>
      </c>
      <c r="D6" s="123">
        <f t="shared" ref="D6:D45" si="0">IF(C6&lt;&gt;0,B6/C6*100,0)</f>
        <v>100</v>
      </c>
    </row>
    <row r="7" spans="1:7">
      <c r="A7" s="21" t="s">
        <v>313</v>
      </c>
      <c r="B7" s="132">
        <v>70909</v>
      </c>
      <c r="C7" s="132">
        <v>68114</v>
      </c>
      <c r="D7" s="123">
        <f t="shared" si="0"/>
        <v>104.1</v>
      </c>
    </row>
    <row r="8" spans="1:7">
      <c r="A8" s="21" t="s">
        <v>314</v>
      </c>
      <c r="B8" s="132">
        <v>311562</v>
      </c>
      <c r="C8" s="132">
        <v>295919</v>
      </c>
      <c r="D8" s="123">
        <f t="shared" si="0"/>
        <v>105.29</v>
      </c>
    </row>
    <row r="9" spans="1:7">
      <c r="A9" s="21" t="s">
        <v>315</v>
      </c>
      <c r="B9" s="132">
        <v>45413</v>
      </c>
      <c r="C9" s="132">
        <v>37280</v>
      </c>
      <c r="D9" s="123">
        <f t="shared" si="0"/>
        <v>121.82</v>
      </c>
      <c r="G9" s="45"/>
    </row>
    <row r="10" spans="1:7">
      <c r="A10" s="21" t="s">
        <v>509</v>
      </c>
      <c r="B10" s="132">
        <v>29852</v>
      </c>
      <c r="C10" s="132">
        <v>25432</v>
      </c>
      <c r="D10" s="123">
        <f t="shared" si="0"/>
        <v>117.38</v>
      </c>
    </row>
    <row r="11" spans="1:7">
      <c r="A11" s="21" t="s">
        <v>316</v>
      </c>
      <c r="B11" s="132">
        <v>155863</v>
      </c>
      <c r="C11" s="132">
        <v>149088</v>
      </c>
      <c r="D11" s="123">
        <f t="shared" si="0"/>
        <v>104.54</v>
      </c>
    </row>
    <row r="12" spans="1:7">
      <c r="A12" s="21" t="s">
        <v>574</v>
      </c>
      <c r="B12" s="132">
        <v>124654</v>
      </c>
      <c r="C12" s="132">
        <v>121654</v>
      </c>
      <c r="D12" s="123">
        <f t="shared" si="0"/>
        <v>102.47</v>
      </c>
    </row>
    <row r="13" spans="1:7">
      <c r="A13" s="21" t="s">
        <v>317</v>
      </c>
      <c r="B13" s="132">
        <v>9350</v>
      </c>
      <c r="C13" s="132">
        <v>9150</v>
      </c>
      <c r="D13" s="123">
        <f t="shared" si="0"/>
        <v>102.19</v>
      </c>
    </row>
    <row r="14" spans="1:7">
      <c r="A14" s="21" t="s">
        <v>318</v>
      </c>
      <c r="B14" s="132">
        <v>104024</v>
      </c>
      <c r="C14" s="132">
        <v>121279</v>
      </c>
      <c r="D14" s="123">
        <f t="shared" si="0"/>
        <v>85.77</v>
      </c>
    </row>
    <row r="15" spans="1:7">
      <c r="A15" s="21" t="s">
        <v>319</v>
      </c>
      <c r="B15" s="132">
        <v>112965</v>
      </c>
      <c r="C15" s="132">
        <v>119256</v>
      </c>
      <c r="D15" s="123">
        <f t="shared" si="0"/>
        <v>94.72</v>
      </c>
    </row>
    <row r="16" spans="1:7">
      <c r="A16" s="21" t="s">
        <v>320</v>
      </c>
      <c r="B16" s="132">
        <v>16600</v>
      </c>
      <c r="C16" s="132">
        <v>19116</v>
      </c>
      <c r="D16" s="123">
        <f t="shared" si="0"/>
        <v>86.84</v>
      </c>
    </row>
    <row r="17" spans="1:4">
      <c r="A17" s="21" t="s">
        <v>321</v>
      </c>
      <c r="B17" s="132">
        <v>92400</v>
      </c>
      <c r="C17" s="132">
        <v>94176</v>
      </c>
      <c r="D17" s="123">
        <f t="shared" si="0"/>
        <v>98.11</v>
      </c>
    </row>
    <row r="18" spans="1:4">
      <c r="A18" s="21" t="s">
        <v>322</v>
      </c>
      <c r="B18" s="132">
        <v>14100</v>
      </c>
      <c r="C18" s="132">
        <v>11900</v>
      </c>
      <c r="D18" s="123">
        <f t="shared" si="0"/>
        <v>118.49</v>
      </c>
    </row>
    <row r="19" spans="1:4">
      <c r="A19" s="21" t="s">
        <v>323</v>
      </c>
      <c r="B19" s="132">
        <v>2800</v>
      </c>
      <c r="C19" s="132">
        <v>2350</v>
      </c>
      <c r="D19" s="123">
        <f t="shared" si="0"/>
        <v>119.15</v>
      </c>
    </row>
    <row r="20" spans="1:4">
      <c r="A20" s="21" t="s">
        <v>214</v>
      </c>
      <c r="B20" s="132">
        <v>0</v>
      </c>
      <c r="C20" s="132"/>
      <c r="D20" s="123">
        <f t="shared" si="0"/>
        <v>0</v>
      </c>
    </row>
    <row r="21" spans="1:4">
      <c r="A21" s="21" t="s">
        <v>681</v>
      </c>
      <c r="B21" s="132">
        <v>5400</v>
      </c>
      <c r="C21" s="132">
        <v>4700</v>
      </c>
      <c r="D21" s="123">
        <f t="shared" si="0"/>
        <v>114.89</v>
      </c>
    </row>
    <row r="22" spans="1:4">
      <c r="A22" s="21" t="s">
        <v>324</v>
      </c>
      <c r="B22" s="132">
        <v>38742</v>
      </c>
      <c r="C22" s="132">
        <v>47650</v>
      </c>
      <c r="D22" s="123">
        <f t="shared" si="0"/>
        <v>81.31</v>
      </c>
    </row>
    <row r="23" spans="1:4">
      <c r="A23" s="21" t="s">
        <v>325</v>
      </c>
      <c r="B23" s="132">
        <v>3800</v>
      </c>
      <c r="C23" s="132">
        <v>4700</v>
      </c>
      <c r="D23" s="123">
        <f t="shared" si="0"/>
        <v>80.849999999999994</v>
      </c>
    </row>
    <row r="24" spans="1:4">
      <c r="A24" s="21" t="s">
        <v>696</v>
      </c>
      <c r="B24" s="132">
        <v>11500</v>
      </c>
      <c r="C24" s="132">
        <v>11200</v>
      </c>
      <c r="D24" s="123">
        <f t="shared" si="0"/>
        <v>102.68</v>
      </c>
    </row>
    <row r="25" spans="1:4">
      <c r="A25" s="21" t="s">
        <v>216</v>
      </c>
      <c r="B25" s="132">
        <v>12000</v>
      </c>
      <c r="C25" s="132">
        <v>12000</v>
      </c>
      <c r="D25" s="123">
        <f t="shared" si="0"/>
        <v>100</v>
      </c>
    </row>
    <row r="26" spans="1:4">
      <c r="A26" s="21" t="s">
        <v>803</v>
      </c>
      <c r="B26" s="132">
        <v>200</v>
      </c>
      <c r="C26" s="132">
        <v>150</v>
      </c>
      <c r="D26" s="123">
        <f t="shared" si="0"/>
        <v>133.33000000000001</v>
      </c>
    </row>
    <row r="27" spans="1:4">
      <c r="A27" s="21" t="s">
        <v>326</v>
      </c>
      <c r="B27" s="132">
        <v>44200</v>
      </c>
      <c r="C27" s="132">
        <v>43700</v>
      </c>
      <c r="D27" s="123">
        <f t="shared" si="0"/>
        <v>101.14</v>
      </c>
    </row>
    <row r="28" spans="1:4">
      <c r="A28" s="21" t="s">
        <v>327</v>
      </c>
      <c r="B28" s="132">
        <v>200</v>
      </c>
      <c r="C28" s="132">
        <v>100</v>
      </c>
      <c r="D28" s="123">
        <f t="shared" si="0"/>
        <v>200</v>
      </c>
    </row>
    <row r="29" spans="1:4" ht="16.149999999999999" customHeight="1">
      <c r="A29" s="28" t="s">
        <v>248</v>
      </c>
      <c r="B29" s="132">
        <f>SUBTOTAL(9,B5:B28)</f>
        <v>1278245</v>
      </c>
      <c r="C29" s="132">
        <f>SUBTOTAL(9,C5:C28)</f>
        <v>1269826</v>
      </c>
      <c r="D29" s="123">
        <f t="shared" si="0"/>
        <v>100.66</v>
      </c>
    </row>
    <row r="30" spans="1:4" ht="15" customHeight="1">
      <c r="A30" s="41" t="s">
        <v>243</v>
      </c>
      <c r="B30" s="132">
        <v>30000</v>
      </c>
      <c r="C30" s="132"/>
      <c r="D30" s="123">
        <f t="shared" si="0"/>
        <v>0</v>
      </c>
    </row>
    <row r="31" spans="1:4" ht="15" customHeight="1">
      <c r="A31" s="41" t="s">
        <v>8</v>
      </c>
      <c r="B31" s="132">
        <f>SUBTOTAL(9,B32:B44)</f>
        <v>235351</v>
      </c>
      <c r="C31" s="132">
        <f>SUBTOTAL(9,C32:C44)</f>
        <v>236851</v>
      </c>
      <c r="D31" s="123">
        <f t="shared" si="0"/>
        <v>99.37</v>
      </c>
    </row>
    <row r="32" spans="1:4" ht="15" customHeight="1">
      <c r="A32" s="24" t="s">
        <v>39</v>
      </c>
      <c r="B32" s="132"/>
      <c r="C32" s="132"/>
      <c r="D32" s="123">
        <f t="shared" si="0"/>
        <v>0</v>
      </c>
    </row>
    <row r="33" spans="1:4" ht="15" customHeight="1">
      <c r="A33" s="24" t="s">
        <v>244</v>
      </c>
      <c r="B33" s="132"/>
      <c r="C33" s="25"/>
      <c r="D33" s="123">
        <f t="shared" si="0"/>
        <v>0</v>
      </c>
    </row>
    <row r="34" spans="1:4" ht="15" customHeight="1">
      <c r="A34" s="23" t="s">
        <v>245</v>
      </c>
      <c r="B34" s="132"/>
      <c r="C34" s="22"/>
      <c r="D34" s="123">
        <f t="shared" si="0"/>
        <v>0</v>
      </c>
    </row>
    <row r="35" spans="1:4" ht="15.6" customHeight="1">
      <c r="A35" s="23" t="s">
        <v>246</v>
      </c>
      <c r="B35" s="132"/>
      <c r="C35" s="22"/>
      <c r="D35" s="123">
        <f t="shared" si="0"/>
        <v>0</v>
      </c>
    </row>
    <row r="36" spans="1:4">
      <c r="A36" s="24" t="s">
        <v>247</v>
      </c>
      <c r="B36" s="132">
        <v>235351</v>
      </c>
      <c r="C36" s="132">
        <v>236851</v>
      </c>
      <c r="D36" s="123">
        <f t="shared" si="0"/>
        <v>99.37</v>
      </c>
    </row>
    <row r="37" spans="1:4">
      <c r="A37" s="26" t="s">
        <v>43</v>
      </c>
      <c r="B37" s="132"/>
      <c r="C37" s="132"/>
      <c r="D37" s="123">
        <f t="shared" si="0"/>
        <v>0</v>
      </c>
    </row>
    <row r="38" spans="1:4">
      <c r="A38" s="23" t="s">
        <v>44</v>
      </c>
      <c r="B38" s="132"/>
      <c r="C38" s="132"/>
      <c r="D38" s="123">
        <f t="shared" si="0"/>
        <v>0</v>
      </c>
    </row>
    <row r="39" spans="1:4">
      <c r="A39" s="105" t="s">
        <v>45</v>
      </c>
      <c r="B39" s="132"/>
      <c r="C39" s="132"/>
      <c r="D39" s="123">
        <f t="shared" si="0"/>
        <v>0</v>
      </c>
    </row>
    <row r="40" spans="1:4">
      <c r="A40" s="106" t="s">
        <v>46</v>
      </c>
      <c r="B40" s="132"/>
      <c r="C40" s="132"/>
      <c r="D40" s="123">
        <f t="shared" si="0"/>
        <v>0</v>
      </c>
    </row>
    <row r="41" spans="1:4">
      <c r="A41" s="106" t="s">
        <v>47</v>
      </c>
      <c r="B41" s="132"/>
      <c r="C41" s="132"/>
      <c r="D41" s="123">
        <f t="shared" si="0"/>
        <v>0</v>
      </c>
    </row>
    <row r="42" spans="1:4">
      <c r="A42" s="106" t="s">
        <v>48</v>
      </c>
      <c r="B42" s="132"/>
      <c r="C42" s="132"/>
      <c r="D42" s="123">
        <f t="shared" si="0"/>
        <v>0</v>
      </c>
    </row>
    <row r="43" spans="1:4">
      <c r="A43" s="27" t="s">
        <v>49</v>
      </c>
      <c r="B43" s="132"/>
      <c r="C43" s="132"/>
      <c r="D43" s="123">
        <f t="shared" si="0"/>
        <v>0</v>
      </c>
    </row>
    <row r="44" spans="1:4">
      <c r="A44" s="22" t="s">
        <v>50</v>
      </c>
      <c r="B44" s="132"/>
      <c r="C44" s="132"/>
      <c r="D44" s="123">
        <f t="shared" si="0"/>
        <v>0</v>
      </c>
    </row>
    <row r="45" spans="1:4">
      <c r="A45" s="28" t="s">
        <v>249</v>
      </c>
      <c r="B45" s="132">
        <f>B29+B30+B31</f>
        <v>1543596</v>
      </c>
      <c r="C45" s="132">
        <f>C29+C30+C31</f>
        <v>1506677</v>
      </c>
      <c r="D45" s="123">
        <f t="shared" si="0"/>
        <v>102.45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6"/>
  <sheetViews>
    <sheetView showZeros="0" tabSelected="1" workbookViewId="0">
      <selection activeCell="G9" sqref="G9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4">
      <c r="A1" s="6" t="s">
        <v>770</v>
      </c>
      <c r="B1" s="4"/>
    </row>
    <row r="2" spans="1:4" ht="30" customHeight="1">
      <c r="A2" s="217" t="s">
        <v>853</v>
      </c>
      <c r="B2" s="217"/>
      <c r="C2" s="217"/>
      <c r="D2" s="217"/>
    </row>
    <row r="3" spans="1:4">
      <c r="A3" s="5"/>
      <c r="B3" s="4"/>
      <c r="D3" s="8" t="s">
        <v>32</v>
      </c>
    </row>
    <row r="4" spans="1:4" ht="51" customHeight="1">
      <c r="A4" s="111" t="s">
        <v>51</v>
      </c>
      <c r="B4" s="111" t="s">
        <v>31</v>
      </c>
      <c r="C4" s="112" t="s">
        <v>225</v>
      </c>
      <c r="D4" s="112" t="s">
        <v>229</v>
      </c>
    </row>
    <row r="5" spans="1:4">
      <c r="A5" s="126" t="s">
        <v>311</v>
      </c>
      <c r="B5" s="190">
        <v>69711</v>
      </c>
      <c r="C5" s="131">
        <f>68400+512</f>
        <v>68912</v>
      </c>
      <c r="D5" s="123">
        <f>IF(C5&lt;&gt;0,B5/C5*100,0)</f>
        <v>101.16</v>
      </c>
    </row>
    <row r="6" spans="1:4">
      <c r="A6" s="127" t="s">
        <v>385</v>
      </c>
      <c r="B6" s="191">
        <v>1507</v>
      </c>
      <c r="C6" s="131">
        <v>1397</v>
      </c>
      <c r="D6" s="123">
        <f t="shared" ref="D6:D69" si="0">IF(C6&lt;&gt;0,B6/C6*100,0)</f>
        <v>107.87</v>
      </c>
    </row>
    <row r="7" spans="1:4">
      <c r="A7" s="128" t="s">
        <v>386</v>
      </c>
      <c r="B7" s="191">
        <v>1072</v>
      </c>
      <c r="C7" s="131">
        <v>999</v>
      </c>
      <c r="D7" s="123">
        <f t="shared" si="0"/>
        <v>107.31</v>
      </c>
    </row>
    <row r="8" spans="1:4">
      <c r="A8" s="128" t="s">
        <v>387</v>
      </c>
      <c r="B8" s="191">
        <v>124</v>
      </c>
      <c r="C8" s="131">
        <v>87</v>
      </c>
      <c r="D8" s="123">
        <f t="shared" si="0"/>
        <v>142.53</v>
      </c>
    </row>
    <row r="9" spans="1:4">
      <c r="A9" s="128" t="s">
        <v>388</v>
      </c>
      <c r="B9" s="191">
        <v>100</v>
      </c>
      <c r="C9" s="131">
        <v>100</v>
      </c>
      <c r="D9" s="123">
        <f t="shared" si="0"/>
        <v>100</v>
      </c>
    </row>
    <row r="10" spans="1:4">
      <c r="A10" s="128" t="s">
        <v>389</v>
      </c>
      <c r="B10" s="191">
        <v>10</v>
      </c>
      <c r="C10" s="131">
        <v>10</v>
      </c>
      <c r="D10" s="123">
        <f t="shared" si="0"/>
        <v>100</v>
      </c>
    </row>
    <row r="11" spans="1:4">
      <c r="A11" s="128" t="s">
        <v>390</v>
      </c>
      <c r="B11" s="191">
        <v>201</v>
      </c>
      <c r="C11" s="131">
        <v>201</v>
      </c>
      <c r="D11" s="123">
        <f t="shared" si="0"/>
        <v>100</v>
      </c>
    </row>
    <row r="12" spans="1:4">
      <c r="A12" s="127" t="s">
        <v>391</v>
      </c>
      <c r="B12" s="191">
        <v>1203</v>
      </c>
      <c r="C12" s="131">
        <v>1153</v>
      </c>
      <c r="D12" s="123">
        <f t="shared" si="0"/>
        <v>104.34</v>
      </c>
    </row>
    <row r="13" spans="1:4">
      <c r="A13" s="128" t="s">
        <v>386</v>
      </c>
      <c r="B13" s="191">
        <v>801</v>
      </c>
      <c r="C13" s="131">
        <v>759</v>
      </c>
      <c r="D13" s="123">
        <f t="shared" si="0"/>
        <v>105.53</v>
      </c>
    </row>
    <row r="14" spans="1:4">
      <c r="A14" s="128" t="s">
        <v>393</v>
      </c>
      <c r="B14" s="191">
        <v>100</v>
      </c>
      <c r="C14" s="131">
        <v>100</v>
      </c>
      <c r="D14" s="123">
        <f t="shared" si="0"/>
        <v>100</v>
      </c>
    </row>
    <row r="15" spans="1:4">
      <c r="A15" s="128" t="s">
        <v>394</v>
      </c>
      <c r="B15" s="191">
        <v>133</v>
      </c>
      <c r="C15" s="131">
        <v>133</v>
      </c>
      <c r="D15" s="123">
        <f t="shared" si="0"/>
        <v>100</v>
      </c>
    </row>
    <row r="16" spans="1:4">
      <c r="A16" s="128" t="s">
        <v>395</v>
      </c>
      <c r="B16" s="191">
        <v>75</v>
      </c>
      <c r="C16" s="131">
        <v>75</v>
      </c>
      <c r="D16" s="123">
        <f t="shared" si="0"/>
        <v>100</v>
      </c>
    </row>
    <row r="17" spans="1:4">
      <c r="A17" s="128" t="s">
        <v>396</v>
      </c>
      <c r="B17" s="191">
        <v>94</v>
      </c>
      <c r="C17" s="131">
        <v>86</v>
      </c>
      <c r="D17" s="123">
        <f t="shared" si="0"/>
        <v>109.3</v>
      </c>
    </row>
    <row r="18" spans="1:4">
      <c r="A18" s="127" t="s">
        <v>397</v>
      </c>
      <c r="B18" s="191">
        <v>16982</v>
      </c>
      <c r="C18" s="131">
        <f>14766+380</f>
        <v>15146</v>
      </c>
      <c r="D18" s="123">
        <f t="shared" si="0"/>
        <v>112.12</v>
      </c>
    </row>
    <row r="19" spans="1:4">
      <c r="A19" s="128" t="s">
        <v>386</v>
      </c>
      <c r="B19" s="191">
        <v>13890</v>
      </c>
      <c r="C19" s="131">
        <f>11480+342</f>
        <v>11822</v>
      </c>
      <c r="D19" s="123">
        <f t="shared" si="0"/>
        <v>117.49</v>
      </c>
    </row>
    <row r="20" spans="1:4">
      <c r="A20" s="128" t="s">
        <v>387</v>
      </c>
      <c r="B20" s="191">
        <v>32</v>
      </c>
      <c r="C20" s="131">
        <v>16</v>
      </c>
      <c r="D20" s="123">
        <f t="shared" si="0"/>
        <v>200</v>
      </c>
    </row>
    <row r="21" spans="1:4">
      <c r="A21" s="128" t="s">
        <v>398</v>
      </c>
      <c r="B21" s="191">
        <v>664</v>
      </c>
      <c r="C21" s="131">
        <v>405</v>
      </c>
      <c r="D21" s="123">
        <f t="shared" si="0"/>
        <v>163.95</v>
      </c>
    </row>
    <row r="22" spans="1:4">
      <c r="A22" s="128" t="s">
        <v>399</v>
      </c>
      <c r="B22" s="191">
        <v>282</v>
      </c>
      <c r="C22" s="131">
        <v>137</v>
      </c>
      <c r="D22" s="123">
        <f t="shared" si="0"/>
        <v>205.84</v>
      </c>
    </row>
    <row r="23" spans="1:4">
      <c r="A23" s="128" t="s">
        <v>396</v>
      </c>
      <c r="B23" s="191">
        <v>2114</v>
      </c>
      <c r="C23" s="131">
        <f>2728+38</f>
        <v>2766</v>
      </c>
      <c r="D23" s="123">
        <f t="shared" si="0"/>
        <v>76.430000000000007</v>
      </c>
    </row>
    <row r="24" spans="1:4">
      <c r="A24" s="127" t="s">
        <v>400</v>
      </c>
      <c r="B24" s="191">
        <v>2757</v>
      </c>
      <c r="C24" s="131">
        <v>2839</v>
      </c>
      <c r="D24" s="123">
        <f t="shared" si="0"/>
        <v>97.11</v>
      </c>
    </row>
    <row r="25" spans="1:4">
      <c r="A25" s="128" t="s">
        <v>386</v>
      </c>
      <c r="B25" s="191">
        <v>476</v>
      </c>
      <c r="C25" s="131">
        <v>441</v>
      </c>
      <c r="D25" s="123">
        <f t="shared" si="0"/>
        <v>107.94</v>
      </c>
    </row>
    <row r="26" spans="1:4">
      <c r="A26" s="128" t="s">
        <v>401</v>
      </c>
      <c r="B26" s="191">
        <v>180</v>
      </c>
      <c r="C26" s="131">
        <v>50</v>
      </c>
      <c r="D26" s="123">
        <f t="shared" si="0"/>
        <v>360</v>
      </c>
    </row>
    <row r="27" spans="1:4">
      <c r="A27" s="128" t="s">
        <v>402</v>
      </c>
      <c r="B27" s="191">
        <v>95</v>
      </c>
      <c r="C27" s="131">
        <v>84</v>
      </c>
      <c r="D27" s="123">
        <f t="shared" si="0"/>
        <v>113.1</v>
      </c>
    </row>
    <row r="28" spans="1:4">
      <c r="A28" s="128" t="s">
        <v>396</v>
      </c>
      <c r="B28" s="191">
        <v>404</v>
      </c>
      <c r="C28" s="131">
        <v>528</v>
      </c>
      <c r="D28" s="123">
        <f t="shared" si="0"/>
        <v>76.52</v>
      </c>
    </row>
    <row r="29" spans="1:4">
      <c r="A29" s="128" t="s">
        <v>403</v>
      </c>
      <c r="B29" s="191">
        <v>1602</v>
      </c>
      <c r="C29" s="131">
        <v>1736</v>
      </c>
      <c r="D29" s="123">
        <f t="shared" si="0"/>
        <v>92.28</v>
      </c>
    </row>
    <row r="30" spans="1:4">
      <c r="A30" s="127" t="s">
        <v>404</v>
      </c>
      <c r="B30" s="191">
        <v>1669</v>
      </c>
      <c r="C30" s="131">
        <v>1649</v>
      </c>
      <c r="D30" s="123">
        <f t="shared" si="0"/>
        <v>101.21</v>
      </c>
    </row>
    <row r="31" spans="1:4">
      <c r="A31" s="128" t="s">
        <v>386</v>
      </c>
      <c r="B31" s="191">
        <v>453</v>
      </c>
      <c r="C31" s="131">
        <v>433</v>
      </c>
      <c r="D31" s="123">
        <f t="shared" si="0"/>
        <v>104.62</v>
      </c>
    </row>
    <row r="32" spans="1:4">
      <c r="A32" s="128" t="s">
        <v>405</v>
      </c>
      <c r="B32" s="191">
        <v>0</v>
      </c>
      <c r="C32" s="131">
        <v>80</v>
      </c>
      <c r="D32" s="123">
        <f t="shared" si="0"/>
        <v>0</v>
      </c>
    </row>
    <row r="33" spans="1:4">
      <c r="A33" s="128" t="s">
        <v>406</v>
      </c>
      <c r="B33" s="191">
        <v>50</v>
      </c>
      <c r="C33" s="131">
        <v>130</v>
      </c>
      <c r="D33" s="123">
        <f t="shared" si="0"/>
        <v>38.46</v>
      </c>
    </row>
    <row r="34" spans="1:4">
      <c r="A34" s="128" t="s">
        <v>407</v>
      </c>
      <c r="B34" s="191">
        <v>580</v>
      </c>
      <c r="C34" s="131">
        <v>350</v>
      </c>
      <c r="D34" s="123">
        <f t="shared" si="0"/>
        <v>165.71</v>
      </c>
    </row>
    <row r="35" spans="1:4">
      <c r="A35" s="128" t="s">
        <v>408</v>
      </c>
      <c r="B35" s="191">
        <v>524</v>
      </c>
      <c r="C35" s="131">
        <v>600</v>
      </c>
      <c r="D35" s="123">
        <f t="shared" si="0"/>
        <v>87.33</v>
      </c>
    </row>
    <row r="36" spans="1:4">
      <c r="A36" s="128" t="s">
        <v>396</v>
      </c>
      <c r="B36" s="191">
        <v>62</v>
      </c>
      <c r="C36" s="131">
        <v>56</v>
      </c>
      <c r="D36" s="123">
        <f t="shared" si="0"/>
        <v>110.71</v>
      </c>
    </row>
    <row r="37" spans="1:4">
      <c r="A37" s="127" t="s">
        <v>409</v>
      </c>
      <c r="B37" s="191">
        <v>2616</v>
      </c>
      <c r="C37" s="131">
        <v>2524</v>
      </c>
      <c r="D37" s="123">
        <f t="shared" si="0"/>
        <v>103.65</v>
      </c>
    </row>
    <row r="38" spans="1:4">
      <c r="A38" s="128" t="s">
        <v>386</v>
      </c>
      <c r="B38" s="191">
        <v>1237</v>
      </c>
      <c r="C38" s="131">
        <v>1153</v>
      </c>
      <c r="D38" s="123">
        <f t="shared" si="0"/>
        <v>107.29</v>
      </c>
    </row>
    <row r="39" spans="1:4">
      <c r="A39" s="128" t="s">
        <v>804</v>
      </c>
      <c r="B39" s="191">
        <v>50</v>
      </c>
      <c r="C39" s="131">
        <v>0</v>
      </c>
      <c r="D39" s="123">
        <f t="shared" si="0"/>
        <v>0</v>
      </c>
    </row>
    <row r="40" spans="1:4">
      <c r="A40" s="128" t="s">
        <v>410</v>
      </c>
      <c r="B40" s="191">
        <v>15</v>
      </c>
      <c r="C40" s="131">
        <v>15</v>
      </c>
      <c r="D40" s="123">
        <f t="shared" si="0"/>
        <v>100</v>
      </c>
    </row>
    <row r="41" spans="1:4">
      <c r="A41" s="128" t="s">
        <v>411</v>
      </c>
      <c r="B41" s="191">
        <v>102</v>
      </c>
      <c r="C41" s="131">
        <v>160</v>
      </c>
      <c r="D41" s="123">
        <f t="shared" si="0"/>
        <v>63.75</v>
      </c>
    </row>
    <row r="42" spans="1:4">
      <c r="A42" s="128" t="s">
        <v>396</v>
      </c>
      <c r="B42" s="191">
        <v>1212</v>
      </c>
      <c r="C42" s="131">
        <v>1196</v>
      </c>
      <c r="D42" s="123">
        <f t="shared" si="0"/>
        <v>101.34</v>
      </c>
    </row>
    <row r="43" spans="1:4">
      <c r="A43" s="127" t="s">
        <v>412</v>
      </c>
      <c r="B43" s="191">
        <v>5000</v>
      </c>
      <c r="C43" s="131">
        <v>5000</v>
      </c>
      <c r="D43" s="123">
        <f t="shared" si="0"/>
        <v>100</v>
      </c>
    </row>
    <row r="44" spans="1:4">
      <c r="A44" s="128" t="s">
        <v>413</v>
      </c>
      <c r="B44" s="191">
        <v>5000</v>
      </c>
      <c r="C44" s="131">
        <v>5000</v>
      </c>
      <c r="D44" s="123">
        <f t="shared" si="0"/>
        <v>100</v>
      </c>
    </row>
    <row r="45" spans="1:4">
      <c r="A45" s="127" t="s">
        <v>414</v>
      </c>
      <c r="B45" s="191">
        <v>828</v>
      </c>
      <c r="C45" s="131">
        <f>767+15</f>
        <v>782</v>
      </c>
      <c r="D45" s="123">
        <f t="shared" si="0"/>
        <v>105.88</v>
      </c>
    </row>
    <row r="46" spans="1:4">
      <c r="A46" s="128" t="s">
        <v>386</v>
      </c>
      <c r="B46" s="191">
        <v>351</v>
      </c>
      <c r="C46" s="131">
        <v>299</v>
      </c>
      <c r="D46" s="123">
        <f t="shared" si="0"/>
        <v>117.39</v>
      </c>
    </row>
    <row r="47" spans="1:4">
      <c r="A47" s="128" t="s">
        <v>415</v>
      </c>
      <c r="B47" s="191">
        <v>193</v>
      </c>
      <c r="C47" s="131">
        <v>222</v>
      </c>
      <c r="D47" s="123">
        <f t="shared" si="0"/>
        <v>86.94</v>
      </c>
    </row>
    <row r="48" spans="1:4">
      <c r="A48" s="128" t="s">
        <v>396</v>
      </c>
      <c r="B48" s="191">
        <v>269</v>
      </c>
      <c r="C48" s="131">
        <v>246</v>
      </c>
      <c r="D48" s="123">
        <f t="shared" si="0"/>
        <v>109.35</v>
      </c>
    </row>
    <row r="49" spans="1:4">
      <c r="A49" s="129" t="s">
        <v>805</v>
      </c>
      <c r="B49" s="191">
        <v>15</v>
      </c>
      <c r="C49" s="131">
        <v>15</v>
      </c>
      <c r="D49" s="123">
        <f t="shared" si="0"/>
        <v>100</v>
      </c>
    </row>
    <row r="50" spans="1:4">
      <c r="A50" s="127" t="s">
        <v>416</v>
      </c>
      <c r="B50" s="191">
        <v>215</v>
      </c>
      <c r="C50" s="131">
        <v>201</v>
      </c>
      <c r="D50" s="123">
        <f t="shared" si="0"/>
        <v>106.97</v>
      </c>
    </row>
    <row r="51" spans="1:4">
      <c r="A51" s="128" t="s">
        <v>386</v>
      </c>
      <c r="B51" s="191">
        <v>215</v>
      </c>
      <c r="C51" s="131">
        <v>201</v>
      </c>
      <c r="D51" s="123">
        <f t="shared" si="0"/>
        <v>106.97</v>
      </c>
    </row>
    <row r="52" spans="1:4">
      <c r="A52" s="127" t="s">
        <v>417</v>
      </c>
      <c r="B52" s="192">
        <v>4086</v>
      </c>
      <c r="C52" s="131">
        <v>3067</v>
      </c>
      <c r="D52" s="123">
        <f t="shared" si="0"/>
        <v>133.22</v>
      </c>
    </row>
    <row r="53" spans="1:4">
      <c r="A53" s="128" t="s">
        <v>386</v>
      </c>
      <c r="B53" s="192">
        <v>3396</v>
      </c>
      <c r="C53" s="131">
        <v>2432</v>
      </c>
      <c r="D53" s="123">
        <f t="shared" si="0"/>
        <v>139.63999999999999</v>
      </c>
    </row>
    <row r="54" spans="1:4">
      <c r="A54" s="128" t="s">
        <v>396</v>
      </c>
      <c r="B54" s="192">
        <v>690</v>
      </c>
      <c r="C54" s="131">
        <v>635</v>
      </c>
      <c r="D54" s="123">
        <f t="shared" si="0"/>
        <v>108.66</v>
      </c>
    </row>
    <row r="55" spans="1:4">
      <c r="A55" s="127" t="s">
        <v>418</v>
      </c>
      <c r="B55" s="192">
        <v>1886</v>
      </c>
      <c r="C55" s="131">
        <v>2655</v>
      </c>
      <c r="D55" s="123">
        <f t="shared" si="0"/>
        <v>71.040000000000006</v>
      </c>
    </row>
    <row r="56" spans="1:4">
      <c r="A56" s="128" t="s">
        <v>386</v>
      </c>
      <c r="B56" s="192">
        <v>999</v>
      </c>
      <c r="C56" s="131">
        <v>936</v>
      </c>
      <c r="D56" s="123">
        <f t="shared" si="0"/>
        <v>106.73</v>
      </c>
    </row>
    <row r="57" spans="1:4">
      <c r="A57" s="128" t="s">
        <v>387</v>
      </c>
      <c r="B57" s="192">
        <v>15</v>
      </c>
      <c r="C57" s="131">
        <v>15</v>
      </c>
      <c r="D57" s="123">
        <f t="shared" si="0"/>
        <v>100</v>
      </c>
    </row>
    <row r="58" spans="1:4">
      <c r="A58" s="128" t="s">
        <v>419</v>
      </c>
      <c r="B58" s="192">
        <v>537</v>
      </c>
      <c r="C58" s="131">
        <v>768</v>
      </c>
      <c r="D58" s="123">
        <f t="shared" si="0"/>
        <v>69.92</v>
      </c>
    </row>
    <row r="59" spans="1:4">
      <c r="A59" s="128" t="s">
        <v>396</v>
      </c>
      <c r="B59" s="192">
        <v>335</v>
      </c>
      <c r="C59" s="131">
        <v>305</v>
      </c>
      <c r="D59" s="123">
        <f t="shared" si="0"/>
        <v>109.84</v>
      </c>
    </row>
    <row r="60" spans="1:4">
      <c r="A60" s="128" t="s">
        <v>420</v>
      </c>
      <c r="B60" s="192">
        <v>0</v>
      </c>
      <c r="C60" s="131">
        <v>631</v>
      </c>
      <c r="D60" s="123">
        <f t="shared" si="0"/>
        <v>0</v>
      </c>
    </row>
    <row r="61" spans="1:4">
      <c r="A61" s="127" t="s">
        <v>421</v>
      </c>
      <c r="B61" s="192">
        <v>196</v>
      </c>
      <c r="C61" s="131">
        <v>20</v>
      </c>
      <c r="D61" s="123">
        <f t="shared" si="0"/>
        <v>980</v>
      </c>
    </row>
    <row r="62" spans="1:4">
      <c r="A62" s="129" t="s">
        <v>806</v>
      </c>
      <c r="B62" s="192">
        <v>196</v>
      </c>
      <c r="C62" s="131">
        <v>20</v>
      </c>
      <c r="D62" s="123">
        <f t="shared" si="0"/>
        <v>980</v>
      </c>
    </row>
    <row r="63" spans="1:4">
      <c r="A63" s="127" t="s">
        <v>422</v>
      </c>
      <c r="B63" s="192">
        <v>441</v>
      </c>
      <c r="C63" s="131">
        <f>943+18</f>
        <v>961</v>
      </c>
      <c r="D63" s="123">
        <f t="shared" si="0"/>
        <v>45.89</v>
      </c>
    </row>
    <row r="64" spans="1:4">
      <c r="A64" s="128" t="s">
        <v>386</v>
      </c>
      <c r="B64" s="192">
        <v>30</v>
      </c>
      <c r="C64" s="131">
        <v>371</v>
      </c>
      <c r="D64" s="123">
        <f t="shared" si="0"/>
        <v>8.09</v>
      </c>
    </row>
    <row r="65" spans="1:4">
      <c r="A65" s="128" t="s">
        <v>423</v>
      </c>
      <c r="B65" s="192">
        <v>301</v>
      </c>
      <c r="C65" s="131">
        <f>186+18</f>
        <v>204</v>
      </c>
      <c r="D65" s="123">
        <f t="shared" si="0"/>
        <v>147.55000000000001</v>
      </c>
    </row>
    <row r="66" spans="1:4">
      <c r="A66" s="128" t="s">
        <v>424</v>
      </c>
      <c r="B66" s="192">
        <v>110</v>
      </c>
      <c r="C66" s="131">
        <v>386</v>
      </c>
      <c r="D66" s="123">
        <f t="shared" si="0"/>
        <v>28.5</v>
      </c>
    </row>
    <row r="67" spans="1:4">
      <c r="A67" s="127" t="s">
        <v>425</v>
      </c>
      <c r="B67" s="192">
        <v>866</v>
      </c>
      <c r="C67" s="131">
        <v>546</v>
      </c>
      <c r="D67" s="123">
        <f t="shared" si="0"/>
        <v>158.61000000000001</v>
      </c>
    </row>
    <row r="68" spans="1:4">
      <c r="A68" s="128" t="s">
        <v>386</v>
      </c>
      <c r="B68" s="192">
        <v>383</v>
      </c>
      <c r="C68" s="131">
        <v>376</v>
      </c>
      <c r="D68" s="123">
        <f t="shared" si="0"/>
        <v>101.86</v>
      </c>
    </row>
    <row r="69" spans="1:4">
      <c r="A69" s="128" t="s">
        <v>387</v>
      </c>
      <c r="B69" s="192">
        <v>0</v>
      </c>
      <c r="C69" s="131">
        <v>9</v>
      </c>
      <c r="D69" s="123">
        <f t="shared" si="0"/>
        <v>0</v>
      </c>
    </row>
    <row r="70" spans="1:4">
      <c r="A70" s="128" t="s">
        <v>426</v>
      </c>
      <c r="B70" s="192">
        <v>468</v>
      </c>
      <c r="C70" s="131">
        <v>148</v>
      </c>
      <c r="D70" s="123">
        <f t="shared" ref="D70:D133" si="1">IF(C70&lt;&gt;0,B70/C70*100,0)</f>
        <v>316.22000000000003</v>
      </c>
    </row>
    <row r="71" spans="1:4">
      <c r="A71" s="128" t="s">
        <v>427</v>
      </c>
      <c r="B71" s="192">
        <v>15</v>
      </c>
      <c r="C71" s="131">
        <v>13</v>
      </c>
      <c r="D71" s="123">
        <f t="shared" si="1"/>
        <v>115.38</v>
      </c>
    </row>
    <row r="72" spans="1:4">
      <c r="A72" s="127" t="s">
        <v>428</v>
      </c>
      <c r="B72" s="192">
        <v>879</v>
      </c>
      <c r="C72" s="131">
        <v>697</v>
      </c>
      <c r="D72" s="123">
        <f t="shared" si="1"/>
        <v>126.11</v>
      </c>
    </row>
    <row r="73" spans="1:4">
      <c r="A73" s="128" t="s">
        <v>386</v>
      </c>
      <c r="B73" s="192">
        <v>265</v>
      </c>
      <c r="C73" s="131">
        <v>253</v>
      </c>
      <c r="D73" s="123">
        <f t="shared" si="1"/>
        <v>104.74</v>
      </c>
    </row>
    <row r="74" spans="1:4">
      <c r="A74" s="128" t="s">
        <v>395</v>
      </c>
      <c r="B74" s="192">
        <v>298</v>
      </c>
      <c r="C74" s="131">
        <v>273</v>
      </c>
      <c r="D74" s="123">
        <f t="shared" si="1"/>
        <v>109.16</v>
      </c>
    </row>
    <row r="75" spans="1:4">
      <c r="A75" s="128" t="s">
        <v>396</v>
      </c>
      <c r="B75" s="192">
        <v>151</v>
      </c>
      <c r="C75" s="131">
        <v>41</v>
      </c>
      <c r="D75" s="123">
        <f t="shared" si="1"/>
        <v>368.29</v>
      </c>
    </row>
    <row r="76" spans="1:4">
      <c r="A76" s="128" t="s">
        <v>429</v>
      </c>
      <c r="B76" s="192">
        <v>165</v>
      </c>
      <c r="C76" s="131">
        <v>130</v>
      </c>
      <c r="D76" s="123">
        <f t="shared" si="1"/>
        <v>126.92</v>
      </c>
    </row>
    <row r="77" spans="1:4">
      <c r="A77" s="127" t="s">
        <v>430</v>
      </c>
      <c r="B77" s="192">
        <v>2763</v>
      </c>
      <c r="C77" s="131">
        <f>2853+71</f>
        <v>2924</v>
      </c>
      <c r="D77" s="123">
        <f t="shared" si="1"/>
        <v>94.49</v>
      </c>
    </row>
    <row r="78" spans="1:4">
      <c r="A78" s="128" t="s">
        <v>386</v>
      </c>
      <c r="B78" s="192">
        <v>1002</v>
      </c>
      <c r="C78" s="131">
        <v>977</v>
      </c>
      <c r="D78" s="123">
        <f t="shared" si="1"/>
        <v>102.56</v>
      </c>
    </row>
    <row r="79" spans="1:4">
      <c r="A79" s="128" t="s">
        <v>396</v>
      </c>
      <c r="B79" s="192">
        <v>220</v>
      </c>
      <c r="C79" s="131">
        <v>199</v>
      </c>
      <c r="D79" s="123">
        <f t="shared" si="1"/>
        <v>110.55</v>
      </c>
    </row>
    <row r="80" spans="1:4">
      <c r="A80" s="128" t="s">
        <v>431</v>
      </c>
      <c r="B80" s="192">
        <v>1541</v>
      </c>
      <c r="C80" s="131">
        <f>1677+71</f>
        <v>1748</v>
      </c>
      <c r="D80" s="123">
        <f t="shared" si="1"/>
        <v>88.16</v>
      </c>
    </row>
    <row r="81" spans="1:4">
      <c r="A81" s="127" t="s">
        <v>432</v>
      </c>
      <c r="B81" s="192">
        <v>4399</v>
      </c>
      <c r="C81" s="131">
        <v>3263</v>
      </c>
      <c r="D81" s="123">
        <f t="shared" si="1"/>
        <v>134.81</v>
      </c>
    </row>
    <row r="82" spans="1:4">
      <c r="A82" s="128" t="s">
        <v>386</v>
      </c>
      <c r="B82" s="192">
        <v>2119</v>
      </c>
      <c r="C82" s="131">
        <v>1621</v>
      </c>
      <c r="D82" s="123">
        <f t="shared" si="1"/>
        <v>130.72</v>
      </c>
    </row>
    <row r="83" spans="1:4">
      <c r="A83" s="128" t="s">
        <v>387</v>
      </c>
      <c r="B83" s="192">
        <v>126</v>
      </c>
      <c r="C83" s="131">
        <v>144</v>
      </c>
      <c r="D83" s="123">
        <f t="shared" si="1"/>
        <v>87.5</v>
      </c>
    </row>
    <row r="84" spans="1:4">
      <c r="A84" s="128" t="s">
        <v>433</v>
      </c>
      <c r="B84" s="192">
        <v>2060</v>
      </c>
      <c r="C84" s="131">
        <v>1498</v>
      </c>
      <c r="D84" s="123">
        <f t="shared" si="1"/>
        <v>137.52000000000001</v>
      </c>
    </row>
    <row r="85" spans="1:4">
      <c r="A85" s="183" t="s">
        <v>396</v>
      </c>
      <c r="B85" s="192">
        <v>94</v>
      </c>
      <c r="C85" s="131">
        <v>0</v>
      </c>
      <c r="D85" s="123">
        <f t="shared" si="1"/>
        <v>0</v>
      </c>
    </row>
    <row r="86" spans="1:4">
      <c r="A86" s="127" t="s">
        <v>434</v>
      </c>
      <c r="B86" s="192">
        <v>2089</v>
      </c>
      <c r="C86" s="131">
        <v>2024</v>
      </c>
      <c r="D86" s="123">
        <f t="shared" si="1"/>
        <v>103.21</v>
      </c>
    </row>
    <row r="87" spans="1:4">
      <c r="A87" s="128" t="s">
        <v>386</v>
      </c>
      <c r="B87" s="192">
        <v>730</v>
      </c>
      <c r="C87" s="131">
        <v>463</v>
      </c>
      <c r="D87" s="123">
        <f t="shared" si="1"/>
        <v>157.66999999999999</v>
      </c>
    </row>
    <row r="88" spans="1:4">
      <c r="A88" s="128" t="s">
        <v>392</v>
      </c>
      <c r="B88" s="192">
        <v>100</v>
      </c>
      <c r="C88" s="131">
        <v>100</v>
      </c>
      <c r="D88" s="123">
        <f t="shared" si="1"/>
        <v>100</v>
      </c>
    </row>
    <row r="89" spans="1:4">
      <c r="A89" s="128" t="s">
        <v>396</v>
      </c>
      <c r="B89" s="192">
        <v>59</v>
      </c>
      <c r="C89" s="131">
        <v>41</v>
      </c>
      <c r="D89" s="123">
        <f t="shared" si="1"/>
        <v>143.9</v>
      </c>
    </row>
    <row r="90" spans="1:4">
      <c r="A90" s="128" t="s">
        <v>435</v>
      </c>
      <c r="B90" s="192">
        <v>1200</v>
      </c>
      <c r="C90" s="131">
        <v>1420</v>
      </c>
      <c r="D90" s="123">
        <f t="shared" si="1"/>
        <v>84.51</v>
      </c>
    </row>
    <row r="91" spans="1:4">
      <c r="A91" s="127" t="s">
        <v>436</v>
      </c>
      <c r="B91" s="192">
        <v>2835</v>
      </c>
      <c r="C91" s="131">
        <v>2338</v>
      </c>
      <c r="D91" s="123">
        <f t="shared" si="1"/>
        <v>121.26</v>
      </c>
    </row>
    <row r="92" spans="1:4">
      <c r="A92" s="128" t="s">
        <v>386</v>
      </c>
      <c r="B92" s="192">
        <v>358</v>
      </c>
      <c r="C92" s="131">
        <v>286</v>
      </c>
      <c r="D92" s="123">
        <f t="shared" si="1"/>
        <v>125.17</v>
      </c>
    </row>
    <row r="93" spans="1:4">
      <c r="A93" s="128" t="s">
        <v>396</v>
      </c>
      <c r="B93" s="192">
        <v>86</v>
      </c>
      <c r="C93" s="131">
        <v>106</v>
      </c>
      <c r="D93" s="123">
        <f t="shared" si="1"/>
        <v>81.13</v>
      </c>
    </row>
    <row r="94" spans="1:4">
      <c r="A94" s="128" t="s">
        <v>437</v>
      </c>
      <c r="B94" s="192">
        <v>2391</v>
      </c>
      <c r="C94" s="131">
        <v>1946</v>
      </c>
      <c r="D94" s="123">
        <f t="shared" si="1"/>
        <v>122.87</v>
      </c>
    </row>
    <row r="95" spans="1:4">
      <c r="A95" s="127" t="s">
        <v>438</v>
      </c>
      <c r="B95" s="192">
        <v>951</v>
      </c>
      <c r="C95" s="131">
        <f>619+8</f>
        <v>627</v>
      </c>
      <c r="D95" s="123">
        <f t="shared" si="1"/>
        <v>151.66999999999999</v>
      </c>
    </row>
    <row r="96" spans="1:4">
      <c r="A96" s="128" t="s">
        <v>386</v>
      </c>
      <c r="B96" s="192">
        <v>600</v>
      </c>
      <c r="C96" s="131">
        <v>410</v>
      </c>
      <c r="D96" s="123">
        <f t="shared" si="1"/>
        <v>146.34</v>
      </c>
    </row>
    <row r="97" spans="1:4">
      <c r="A97" s="128" t="s">
        <v>439</v>
      </c>
      <c r="B97" s="192">
        <v>56</v>
      </c>
      <c r="C97" s="131">
        <f>54+8</f>
        <v>62</v>
      </c>
      <c r="D97" s="123">
        <f t="shared" si="1"/>
        <v>90.32</v>
      </c>
    </row>
    <row r="98" spans="1:4">
      <c r="A98" s="128" t="s">
        <v>440</v>
      </c>
      <c r="B98" s="192">
        <v>175</v>
      </c>
      <c r="C98" s="131">
        <v>0</v>
      </c>
      <c r="D98" s="123">
        <f t="shared" si="1"/>
        <v>0</v>
      </c>
    </row>
    <row r="99" spans="1:4">
      <c r="A99" s="128" t="s">
        <v>441</v>
      </c>
      <c r="B99" s="192">
        <v>120</v>
      </c>
      <c r="C99" s="131">
        <v>155</v>
      </c>
      <c r="D99" s="123">
        <f t="shared" si="1"/>
        <v>77.42</v>
      </c>
    </row>
    <row r="100" spans="1:4">
      <c r="A100" s="127" t="s">
        <v>442</v>
      </c>
      <c r="B100" s="192">
        <v>1928</v>
      </c>
      <c r="C100" s="131">
        <v>1620</v>
      </c>
      <c r="D100" s="123">
        <f t="shared" si="1"/>
        <v>119.01</v>
      </c>
    </row>
    <row r="101" spans="1:4">
      <c r="A101" s="128" t="s">
        <v>386</v>
      </c>
      <c r="B101" s="192">
        <v>580</v>
      </c>
      <c r="C101" s="131">
        <v>442</v>
      </c>
      <c r="D101" s="123">
        <f t="shared" si="1"/>
        <v>131.22</v>
      </c>
    </row>
    <row r="102" spans="1:4">
      <c r="A102" s="128" t="s">
        <v>443</v>
      </c>
      <c r="B102" s="192">
        <v>1348</v>
      </c>
      <c r="C102" s="131">
        <v>1178</v>
      </c>
      <c r="D102" s="123">
        <f t="shared" si="1"/>
        <v>114.43</v>
      </c>
    </row>
    <row r="103" spans="1:4">
      <c r="A103" s="127" t="s">
        <v>444</v>
      </c>
      <c r="B103" s="192">
        <v>8624</v>
      </c>
      <c r="C103" s="131">
        <v>8258</v>
      </c>
      <c r="D103" s="123">
        <f t="shared" si="1"/>
        <v>104.43</v>
      </c>
    </row>
    <row r="104" spans="1:4">
      <c r="A104" s="128" t="s">
        <v>386</v>
      </c>
      <c r="B104" s="192">
        <v>4381</v>
      </c>
      <c r="C104" s="131">
        <v>3927</v>
      </c>
      <c r="D104" s="123">
        <f t="shared" si="1"/>
        <v>111.56</v>
      </c>
    </row>
    <row r="105" spans="1:4">
      <c r="A105" s="129" t="s">
        <v>807</v>
      </c>
      <c r="B105" s="192">
        <v>2420</v>
      </c>
      <c r="C105" s="131">
        <v>1404</v>
      </c>
      <c r="D105" s="123">
        <f t="shared" si="1"/>
        <v>172.36</v>
      </c>
    </row>
    <row r="106" spans="1:4">
      <c r="A106" s="129" t="s">
        <v>808</v>
      </c>
      <c r="B106" s="192">
        <v>566</v>
      </c>
      <c r="C106" s="131">
        <v>488</v>
      </c>
      <c r="D106" s="123">
        <f t="shared" si="1"/>
        <v>115.98</v>
      </c>
    </row>
    <row r="107" spans="1:4">
      <c r="A107" s="184" t="s">
        <v>809</v>
      </c>
      <c r="B107" s="192">
        <v>3</v>
      </c>
      <c r="C107" s="131">
        <v>0</v>
      </c>
      <c r="D107" s="123">
        <f t="shared" si="1"/>
        <v>0</v>
      </c>
    </row>
    <row r="108" spans="1:4">
      <c r="A108" s="128" t="s">
        <v>396</v>
      </c>
      <c r="B108" s="192">
        <v>777</v>
      </c>
      <c r="C108" s="131">
        <v>766</v>
      </c>
      <c r="D108" s="123">
        <f t="shared" si="1"/>
        <v>101.44</v>
      </c>
    </row>
    <row r="109" spans="1:4">
      <c r="A109" s="128" t="s">
        <v>445</v>
      </c>
      <c r="B109" s="192">
        <v>477</v>
      </c>
      <c r="C109" s="131">
        <v>1673</v>
      </c>
      <c r="D109" s="123">
        <f t="shared" si="1"/>
        <v>28.51</v>
      </c>
    </row>
    <row r="110" spans="1:4">
      <c r="A110" s="127" t="s">
        <v>446</v>
      </c>
      <c r="B110" s="192">
        <v>4991</v>
      </c>
      <c r="C110" s="131">
        <v>9221</v>
      </c>
      <c r="D110" s="123">
        <f t="shared" si="1"/>
        <v>54.13</v>
      </c>
    </row>
    <row r="111" spans="1:4">
      <c r="A111" s="128" t="s">
        <v>447</v>
      </c>
      <c r="B111" s="192">
        <v>50</v>
      </c>
      <c r="C111" s="131">
        <v>50</v>
      </c>
      <c r="D111" s="123">
        <f t="shared" si="1"/>
        <v>100</v>
      </c>
    </row>
    <row r="112" spans="1:4">
      <c r="A112" s="128" t="s">
        <v>448</v>
      </c>
      <c r="B112" s="192">
        <v>4941</v>
      </c>
      <c r="C112" s="131">
        <v>9171</v>
      </c>
      <c r="D112" s="123">
        <f t="shared" si="1"/>
        <v>53.88</v>
      </c>
    </row>
    <row r="113" spans="1:4">
      <c r="A113" s="126" t="s">
        <v>312</v>
      </c>
      <c r="B113" s="192">
        <v>2000</v>
      </c>
      <c r="C113" s="131">
        <v>2000</v>
      </c>
      <c r="D113" s="123">
        <f t="shared" si="1"/>
        <v>100</v>
      </c>
    </row>
    <row r="114" spans="1:4">
      <c r="A114" s="127" t="s">
        <v>449</v>
      </c>
      <c r="B114" s="192">
        <v>967</v>
      </c>
      <c r="C114" s="131">
        <v>775</v>
      </c>
      <c r="D114" s="123">
        <f t="shared" si="1"/>
        <v>124.77</v>
      </c>
    </row>
    <row r="115" spans="1:4">
      <c r="A115" s="128" t="s">
        <v>450</v>
      </c>
      <c r="B115" s="192">
        <v>163</v>
      </c>
      <c r="C115" s="131">
        <v>163</v>
      </c>
      <c r="D115" s="123">
        <f t="shared" si="1"/>
        <v>100</v>
      </c>
    </row>
    <row r="116" spans="1:4">
      <c r="A116" s="128" t="s">
        <v>451</v>
      </c>
      <c r="B116" s="192">
        <v>253</v>
      </c>
      <c r="C116" s="131">
        <v>65</v>
      </c>
      <c r="D116" s="123">
        <f t="shared" si="1"/>
        <v>389.23</v>
      </c>
    </row>
    <row r="117" spans="1:4">
      <c r="A117" s="128" t="s">
        <v>452</v>
      </c>
      <c r="B117" s="192">
        <v>50</v>
      </c>
      <c r="C117" s="131">
        <v>50</v>
      </c>
      <c r="D117" s="123">
        <f t="shared" si="1"/>
        <v>100</v>
      </c>
    </row>
    <row r="118" spans="1:4">
      <c r="A118" s="128" t="s">
        <v>453</v>
      </c>
      <c r="B118" s="192">
        <v>40</v>
      </c>
      <c r="C118" s="131">
        <v>40</v>
      </c>
      <c r="D118" s="123">
        <f t="shared" si="1"/>
        <v>100</v>
      </c>
    </row>
    <row r="119" spans="1:4">
      <c r="A119" s="128" t="s">
        <v>454</v>
      </c>
      <c r="B119" s="192">
        <v>461</v>
      </c>
      <c r="C119" s="131">
        <v>457</v>
      </c>
      <c r="D119" s="123">
        <f t="shared" si="1"/>
        <v>100.88</v>
      </c>
    </row>
    <row r="120" spans="1:4">
      <c r="A120" s="127" t="s">
        <v>455</v>
      </c>
      <c r="B120" s="192">
        <v>1033</v>
      </c>
      <c r="C120" s="131">
        <v>1225</v>
      </c>
      <c r="D120" s="123">
        <f t="shared" si="1"/>
        <v>84.33</v>
      </c>
    </row>
    <row r="121" spans="1:4">
      <c r="A121" s="128" t="s">
        <v>456</v>
      </c>
      <c r="B121" s="192">
        <v>1033</v>
      </c>
      <c r="C121" s="131">
        <v>1225</v>
      </c>
      <c r="D121" s="123">
        <f t="shared" si="1"/>
        <v>84.33</v>
      </c>
    </row>
    <row r="122" spans="1:4">
      <c r="A122" s="126" t="s">
        <v>313</v>
      </c>
      <c r="B122" s="192">
        <v>70909</v>
      </c>
      <c r="C122" s="131">
        <f>67400+714</f>
        <v>68114</v>
      </c>
      <c r="D122" s="123">
        <f t="shared" si="1"/>
        <v>104.1</v>
      </c>
    </row>
    <row r="123" spans="1:4">
      <c r="A123" s="127" t="s">
        <v>457</v>
      </c>
      <c r="B123" s="192">
        <v>540</v>
      </c>
      <c r="C123" s="131">
        <v>280</v>
      </c>
      <c r="D123" s="123">
        <f t="shared" si="1"/>
        <v>192.86</v>
      </c>
    </row>
    <row r="124" spans="1:4">
      <c r="A124" s="128" t="s">
        <v>458</v>
      </c>
      <c r="B124" s="192">
        <v>540</v>
      </c>
      <c r="C124" s="131">
        <v>280</v>
      </c>
      <c r="D124" s="123">
        <f t="shared" si="1"/>
        <v>192.86</v>
      </c>
    </row>
    <row r="125" spans="1:4">
      <c r="A125" s="127" t="s">
        <v>459</v>
      </c>
      <c r="B125" s="192">
        <v>58431</v>
      </c>
      <c r="C125" s="131">
        <f>51350+665</f>
        <v>52015</v>
      </c>
      <c r="D125" s="123">
        <f t="shared" si="1"/>
        <v>112.33</v>
      </c>
    </row>
    <row r="126" spans="1:4">
      <c r="A126" s="128" t="s">
        <v>386</v>
      </c>
      <c r="B126" s="192">
        <v>51615</v>
      </c>
      <c r="C126" s="131">
        <f>45094+665</f>
        <v>45759</v>
      </c>
      <c r="D126" s="123">
        <f t="shared" si="1"/>
        <v>112.8</v>
      </c>
    </row>
    <row r="127" spans="1:4">
      <c r="A127" s="128" t="s">
        <v>392</v>
      </c>
      <c r="B127" s="192">
        <v>300</v>
      </c>
      <c r="C127" s="131">
        <v>0</v>
      </c>
      <c r="D127" s="123">
        <f t="shared" si="1"/>
        <v>0</v>
      </c>
    </row>
    <row r="128" spans="1:4">
      <c r="A128" s="128" t="s">
        <v>387</v>
      </c>
      <c r="B128" s="192">
        <v>343</v>
      </c>
      <c r="C128" s="131">
        <v>265</v>
      </c>
      <c r="D128" s="123">
        <f t="shared" si="1"/>
        <v>129.43</v>
      </c>
    </row>
    <row r="129" spans="1:4">
      <c r="A129" s="128" t="s">
        <v>411</v>
      </c>
      <c r="B129" s="192">
        <v>1900</v>
      </c>
      <c r="C129" s="131">
        <v>1500</v>
      </c>
      <c r="D129" s="123">
        <f t="shared" si="1"/>
        <v>126.67</v>
      </c>
    </row>
    <row r="130" spans="1:4">
      <c r="A130" s="128" t="s">
        <v>460</v>
      </c>
      <c r="B130" s="192">
        <v>400</v>
      </c>
      <c r="C130" s="131">
        <v>250</v>
      </c>
      <c r="D130" s="123">
        <f t="shared" si="1"/>
        <v>160</v>
      </c>
    </row>
    <row r="131" spans="1:4">
      <c r="A131" s="128" t="s">
        <v>396</v>
      </c>
      <c r="B131" s="192">
        <v>2003</v>
      </c>
      <c r="C131" s="131">
        <v>1636</v>
      </c>
      <c r="D131" s="123">
        <f t="shared" si="1"/>
        <v>122.43</v>
      </c>
    </row>
    <row r="132" spans="1:4">
      <c r="A132" s="128" t="s">
        <v>461</v>
      </c>
      <c r="B132" s="192">
        <v>1870</v>
      </c>
      <c r="C132" s="131">
        <f>2605</f>
        <v>2605</v>
      </c>
      <c r="D132" s="123">
        <f t="shared" si="1"/>
        <v>71.790000000000006</v>
      </c>
    </row>
    <row r="133" spans="1:4">
      <c r="A133" s="127" t="s">
        <v>462</v>
      </c>
      <c r="B133" s="192">
        <v>180</v>
      </c>
      <c r="C133" s="131">
        <v>80</v>
      </c>
      <c r="D133" s="123">
        <f t="shared" si="1"/>
        <v>225</v>
      </c>
    </row>
    <row r="134" spans="1:4">
      <c r="A134" s="128" t="s">
        <v>386</v>
      </c>
      <c r="B134" s="192">
        <v>100</v>
      </c>
      <c r="C134" s="131">
        <v>80</v>
      </c>
      <c r="D134" s="123">
        <f t="shared" ref="D134:D197" si="2">IF(C134&lt;&gt;0,B134/C134*100,0)</f>
        <v>125</v>
      </c>
    </row>
    <row r="135" spans="1:4">
      <c r="A135" s="128" t="s">
        <v>463</v>
      </c>
      <c r="B135" s="192">
        <v>80</v>
      </c>
      <c r="C135" s="131">
        <v>0</v>
      </c>
      <c r="D135" s="123">
        <f t="shared" si="2"/>
        <v>0</v>
      </c>
    </row>
    <row r="136" spans="1:4">
      <c r="A136" s="127" t="s">
        <v>464</v>
      </c>
      <c r="B136" s="192">
        <v>900</v>
      </c>
      <c r="C136" s="131">
        <v>900</v>
      </c>
      <c r="D136" s="123">
        <f t="shared" si="2"/>
        <v>100</v>
      </c>
    </row>
    <row r="137" spans="1:4">
      <c r="A137" s="128" t="s">
        <v>386</v>
      </c>
      <c r="B137" s="192">
        <v>0</v>
      </c>
      <c r="C137" s="131">
        <v>900</v>
      </c>
      <c r="D137" s="123">
        <f t="shared" si="2"/>
        <v>0</v>
      </c>
    </row>
    <row r="138" spans="1:4">
      <c r="A138" s="128" t="s">
        <v>465</v>
      </c>
      <c r="B138" s="192">
        <v>900</v>
      </c>
      <c r="C138" s="131">
        <v>0</v>
      </c>
      <c r="D138" s="123">
        <f t="shared" si="2"/>
        <v>0</v>
      </c>
    </row>
    <row r="139" spans="1:4">
      <c r="A139" s="127" t="s">
        <v>466</v>
      </c>
      <c r="B139" s="192">
        <v>1600</v>
      </c>
      <c r="C139" s="131">
        <v>3100</v>
      </c>
      <c r="D139" s="123">
        <f t="shared" si="2"/>
        <v>51.61</v>
      </c>
    </row>
    <row r="140" spans="1:4">
      <c r="A140" s="128" t="s">
        <v>386</v>
      </c>
      <c r="B140" s="192">
        <v>0</v>
      </c>
      <c r="C140" s="131">
        <v>1600</v>
      </c>
      <c r="D140" s="123">
        <f t="shared" si="2"/>
        <v>0</v>
      </c>
    </row>
    <row r="141" spans="1:4">
      <c r="A141" s="183" t="s">
        <v>810</v>
      </c>
      <c r="B141" s="192">
        <v>1600</v>
      </c>
      <c r="C141" s="131">
        <v>1500</v>
      </c>
      <c r="D141" s="123">
        <f t="shared" si="2"/>
        <v>106.67</v>
      </c>
    </row>
    <row r="142" spans="1:4">
      <c r="A142" s="127" t="s">
        <v>467</v>
      </c>
      <c r="B142" s="192">
        <v>2794</v>
      </c>
      <c r="C142" s="131">
        <f>2602+49</f>
        <v>2651</v>
      </c>
      <c r="D142" s="123">
        <f t="shared" si="2"/>
        <v>105.39</v>
      </c>
    </row>
    <row r="143" spans="1:4">
      <c r="A143" s="128" t="s">
        <v>386</v>
      </c>
      <c r="B143" s="192">
        <v>1555</v>
      </c>
      <c r="C143" s="131">
        <v>1422</v>
      </c>
      <c r="D143" s="123">
        <f t="shared" si="2"/>
        <v>109.35</v>
      </c>
    </row>
    <row r="144" spans="1:4">
      <c r="A144" s="128" t="s">
        <v>468</v>
      </c>
      <c r="B144" s="192">
        <v>47</v>
      </c>
      <c r="C144" s="131">
        <f>50</f>
        <v>50</v>
      </c>
      <c r="D144" s="123">
        <f t="shared" si="2"/>
        <v>94</v>
      </c>
    </row>
    <row r="145" spans="1:4">
      <c r="A145" s="128" t="s">
        <v>469</v>
      </c>
      <c r="B145" s="192">
        <v>300</v>
      </c>
      <c r="C145" s="131">
        <v>300</v>
      </c>
      <c r="D145" s="123">
        <f t="shared" si="2"/>
        <v>100</v>
      </c>
    </row>
    <row r="146" spans="1:4">
      <c r="A146" s="128" t="s">
        <v>470</v>
      </c>
      <c r="B146" s="192">
        <v>224</v>
      </c>
      <c r="C146" s="131">
        <v>226</v>
      </c>
      <c r="D146" s="123">
        <f t="shared" si="2"/>
        <v>99.12</v>
      </c>
    </row>
    <row r="147" spans="1:4">
      <c r="A147" s="128" t="s">
        <v>471</v>
      </c>
      <c r="B147" s="192">
        <v>132</v>
      </c>
      <c r="C147" s="131">
        <f>70+39</f>
        <v>109</v>
      </c>
      <c r="D147" s="123">
        <f t="shared" si="2"/>
        <v>121.1</v>
      </c>
    </row>
    <row r="148" spans="1:4">
      <c r="A148" s="128" t="s">
        <v>472</v>
      </c>
      <c r="B148" s="192">
        <v>282</v>
      </c>
      <c r="C148" s="131">
        <f>359+29</f>
        <v>388</v>
      </c>
      <c r="D148" s="123">
        <f t="shared" si="2"/>
        <v>72.680000000000007</v>
      </c>
    </row>
    <row r="149" spans="1:4">
      <c r="A149" s="185" t="s">
        <v>811</v>
      </c>
      <c r="B149" s="192">
        <v>110</v>
      </c>
      <c r="C149" s="131">
        <v>20</v>
      </c>
      <c r="D149" s="123">
        <f t="shared" si="2"/>
        <v>550</v>
      </c>
    </row>
    <row r="150" spans="1:4">
      <c r="A150" s="128" t="s">
        <v>396</v>
      </c>
      <c r="B150" s="192">
        <v>144</v>
      </c>
      <c r="C150" s="131">
        <f>155</f>
        <v>155</v>
      </c>
      <c r="D150" s="123">
        <f t="shared" si="2"/>
        <v>92.9</v>
      </c>
    </row>
    <row r="151" spans="1:4">
      <c r="A151" s="127" t="s">
        <v>473</v>
      </c>
      <c r="B151" s="192">
        <v>6464</v>
      </c>
      <c r="C151" s="131">
        <f>9088</f>
        <v>9088</v>
      </c>
      <c r="D151" s="123">
        <f t="shared" si="2"/>
        <v>71.13</v>
      </c>
    </row>
    <row r="152" spans="1:4">
      <c r="A152" s="128" t="s">
        <v>474</v>
      </c>
      <c r="B152" s="192">
        <v>6464</v>
      </c>
      <c r="C152" s="131">
        <f>9088</f>
        <v>9088</v>
      </c>
      <c r="D152" s="123">
        <f t="shared" si="2"/>
        <v>71.13</v>
      </c>
    </row>
    <row r="153" spans="1:4">
      <c r="A153" s="126" t="s">
        <v>314</v>
      </c>
      <c r="B153" s="192">
        <v>311562</v>
      </c>
      <c r="C153" s="131">
        <f>280000+15919</f>
        <v>295919</v>
      </c>
      <c r="D153" s="123">
        <f t="shared" si="2"/>
        <v>105.29</v>
      </c>
    </row>
    <row r="154" spans="1:4">
      <c r="A154" s="127" t="s">
        <v>475</v>
      </c>
      <c r="B154" s="192">
        <v>3153</v>
      </c>
      <c r="C154" s="131">
        <v>2843</v>
      </c>
      <c r="D154" s="123">
        <f t="shared" si="2"/>
        <v>110.9</v>
      </c>
    </row>
    <row r="155" spans="1:4">
      <c r="A155" s="128" t="s">
        <v>386</v>
      </c>
      <c r="B155" s="192">
        <v>390</v>
      </c>
      <c r="C155" s="131">
        <v>356</v>
      </c>
      <c r="D155" s="123">
        <f t="shared" si="2"/>
        <v>109.55</v>
      </c>
    </row>
    <row r="156" spans="1:4">
      <c r="A156" s="128" t="s">
        <v>476</v>
      </c>
      <c r="B156" s="192">
        <v>2763</v>
      </c>
      <c r="C156" s="131">
        <v>2487</v>
      </c>
      <c r="D156" s="123">
        <f t="shared" si="2"/>
        <v>111.1</v>
      </c>
    </row>
    <row r="157" spans="1:4">
      <c r="A157" s="127" t="s">
        <v>477</v>
      </c>
      <c r="B157" s="192">
        <v>228555</v>
      </c>
      <c r="C157" s="131">
        <f>206474+13260+1567</f>
        <v>221301</v>
      </c>
      <c r="D157" s="123">
        <f t="shared" si="2"/>
        <v>103.28</v>
      </c>
    </row>
    <row r="158" spans="1:4">
      <c r="A158" s="128" t="s">
        <v>478</v>
      </c>
      <c r="B158" s="192">
        <v>5672</v>
      </c>
      <c r="C158" s="131">
        <f>5140+220</f>
        <v>5360</v>
      </c>
      <c r="D158" s="123">
        <f t="shared" si="2"/>
        <v>105.82</v>
      </c>
    </row>
    <row r="159" spans="1:4">
      <c r="A159" s="128" t="s">
        <v>479</v>
      </c>
      <c r="B159" s="192">
        <v>93458</v>
      </c>
      <c r="C159" s="131">
        <f>87066+960</f>
        <v>88026</v>
      </c>
      <c r="D159" s="123">
        <f t="shared" si="2"/>
        <v>106.17</v>
      </c>
    </row>
    <row r="160" spans="1:4">
      <c r="A160" s="128" t="s">
        <v>480</v>
      </c>
      <c r="B160" s="192">
        <v>66580</v>
      </c>
      <c r="C160" s="131">
        <v>61768</v>
      </c>
      <c r="D160" s="123">
        <f t="shared" si="2"/>
        <v>107.79</v>
      </c>
    </row>
    <row r="161" spans="1:4">
      <c r="A161" s="128" t="s">
        <v>481</v>
      </c>
      <c r="B161" s="192">
        <v>11277</v>
      </c>
      <c r="C161" s="131">
        <f>9832+9</f>
        <v>9841</v>
      </c>
      <c r="D161" s="123">
        <f t="shared" si="2"/>
        <v>114.59</v>
      </c>
    </row>
    <row r="162" spans="1:4">
      <c r="A162" s="128" t="s">
        <v>482</v>
      </c>
      <c r="B162" s="192">
        <v>51568</v>
      </c>
      <c r="C162" s="131">
        <f>42668+12071+1567</f>
        <v>56306</v>
      </c>
      <c r="D162" s="123">
        <f t="shared" si="2"/>
        <v>91.59</v>
      </c>
    </row>
    <row r="163" spans="1:4">
      <c r="A163" s="127" t="s">
        <v>483</v>
      </c>
      <c r="B163" s="192">
        <v>9556</v>
      </c>
      <c r="C163" s="131">
        <f>8691+566</f>
        <v>9257</v>
      </c>
      <c r="D163" s="123">
        <f t="shared" si="2"/>
        <v>103.23</v>
      </c>
    </row>
    <row r="164" spans="1:4">
      <c r="A164" s="129" t="s">
        <v>812</v>
      </c>
      <c r="B164" s="192">
        <v>9556</v>
      </c>
      <c r="C164" s="131">
        <f>8691+566</f>
        <v>9257</v>
      </c>
      <c r="D164" s="123">
        <f t="shared" si="2"/>
        <v>103.23</v>
      </c>
    </row>
    <row r="165" spans="1:4">
      <c r="A165" s="127" t="s">
        <v>484</v>
      </c>
      <c r="B165" s="192">
        <v>86</v>
      </c>
      <c r="C165" s="131">
        <v>121</v>
      </c>
      <c r="D165" s="123">
        <f t="shared" si="2"/>
        <v>71.069999999999993</v>
      </c>
    </row>
    <row r="166" spans="1:4">
      <c r="A166" s="128" t="s">
        <v>485</v>
      </c>
      <c r="B166" s="192">
        <v>0</v>
      </c>
      <c r="C166" s="131">
        <v>60</v>
      </c>
      <c r="D166" s="123">
        <f t="shared" si="2"/>
        <v>0</v>
      </c>
    </row>
    <row r="167" spans="1:4">
      <c r="A167" s="128" t="s">
        <v>486</v>
      </c>
      <c r="B167" s="192">
        <v>86</v>
      </c>
      <c r="C167" s="131">
        <v>61</v>
      </c>
      <c r="D167" s="123">
        <f t="shared" si="2"/>
        <v>140.97999999999999</v>
      </c>
    </row>
    <row r="168" spans="1:4">
      <c r="A168" s="127" t="s">
        <v>487</v>
      </c>
      <c r="B168" s="192">
        <v>1897</v>
      </c>
      <c r="C168" s="131">
        <f>1563+91</f>
        <v>1654</v>
      </c>
      <c r="D168" s="123">
        <f t="shared" si="2"/>
        <v>114.69</v>
      </c>
    </row>
    <row r="169" spans="1:4">
      <c r="A169" s="128" t="s">
        <v>488</v>
      </c>
      <c r="B169" s="192">
        <v>1897</v>
      </c>
      <c r="C169" s="131">
        <f>1563+91</f>
        <v>1654</v>
      </c>
      <c r="D169" s="123">
        <f t="shared" si="2"/>
        <v>114.69</v>
      </c>
    </row>
    <row r="170" spans="1:4">
      <c r="A170" s="127" t="s">
        <v>489</v>
      </c>
      <c r="B170" s="192">
        <v>1988</v>
      </c>
      <c r="C170" s="131">
        <v>1895</v>
      </c>
      <c r="D170" s="123">
        <f t="shared" si="2"/>
        <v>104.91</v>
      </c>
    </row>
    <row r="171" spans="1:4">
      <c r="A171" s="128" t="s">
        <v>490</v>
      </c>
      <c r="B171" s="192">
        <v>814</v>
      </c>
      <c r="C171" s="131">
        <v>818</v>
      </c>
      <c r="D171" s="123">
        <f t="shared" si="2"/>
        <v>99.51</v>
      </c>
    </row>
    <row r="172" spans="1:4">
      <c r="A172" s="128" t="s">
        <v>491</v>
      </c>
      <c r="B172" s="192">
        <v>1174</v>
      </c>
      <c r="C172" s="131">
        <v>1077</v>
      </c>
      <c r="D172" s="123">
        <f t="shared" si="2"/>
        <v>109.01</v>
      </c>
    </row>
    <row r="173" spans="1:4">
      <c r="A173" s="127" t="s">
        <v>492</v>
      </c>
      <c r="B173" s="192">
        <v>27973</v>
      </c>
      <c r="C173" s="131">
        <v>26000</v>
      </c>
      <c r="D173" s="123">
        <f t="shared" si="2"/>
        <v>107.59</v>
      </c>
    </row>
    <row r="174" spans="1:4">
      <c r="A174" s="128" t="s">
        <v>493</v>
      </c>
      <c r="B174" s="192">
        <v>27973</v>
      </c>
      <c r="C174" s="131">
        <v>26000</v>
      </c>
      <c r="D174" s="123">
        <f t="shared" si="2"/>
        <v>107.59</v>
      </c>
    </row>
    <row r="175" spans="1:4">
      <c r="A175" s="127" t="s">
        <v>494</v>
      </c>
      <c r="B175" s="192">
        <v>38354</v>
      </c>
      <c r="C175" s="131">
        <f>32413+435</f>
        <v>32848</v>
      </c>
      <c r="D175" s="123">
        <f t="shared" si="2"/>
        <v>116.76</v>
      </c>
    </row>
    <row r="176" spans="1:4">
      <c r="A176" s="128" t="s">
        <v>495</v>
      </c>
      <c r="B176" s="192">
        <v>38354</v>
      </c>
      <c r="C176" s="131">
        <f>32413+435</f>
        <v>32848</v>
      </c>
      <c r="D176" s="123">
        <f t="shared" si="2"/>
        <v>116.76</v>
      </c>
    </row>
    <row r="177" spans="1:4">
      <c r="A177" s="126" t="s">
        <v>315</v>
      </c>
      <c r="B177" s="192">
        <v>45413</v>
      </c>
      <c r="C177" s="131">
        <f>37200+80</f>
        <v>37280</v>
      </c>
      <c r="D177" s="123">
        <f t="shared" si="2"/>
        <v>121.82</v>
      </c>
    </row>
    <row r="178" spans="1:4">
      <c r="A178" s="127" t="s">
        <v>496</v>
      </c>
      <c r="B178" s="192">
        <v>1785</v>
      </c>
      <c r="C178" s="131">
        <v>1221</v>
      </c>
      <c r="D178" s="123">
        <f t="shared" si="2"/>
        <v>146.19</v>
      </c>
    </row>
    <row r="179" spans="1:4">
      <c r="A179" s="128" t="s">
        <v>386</v>
      </c>
      <c r="B179" s="192">
        <v>223</v>
      </c>
      <c r="C179" s="131">
        <v>148</v>
      </c>
      <c r="D179" s="123">
        <f t="shared" si="2"/>
        <v>150.68</v>
      </c>
    </row>
    <row r="180" spans="1:4">
      <c r="A180" s="128" t="s">
        <v>497</v>
      </c>
      <c r="B180" s="192">
        <v>1562</v>
      </c>
      <c r="C180" s="131">
        <v>1073</v>
      </c>
      <c r="D180" s="123">
        <f t="shared" si="2"/>
        <v>145.57</v>
      </c>
    </row>
    <row r="181" spans="1:4">
      <c r="A181" s="127" t="s">
        <v>498</v>
      </c>
      <c r="B181" s="192">
        <v>8645</v>
      </c>
      <c r="C181" s="131">
        <v>11408</v>
      </c>
      <c r="D181" s="123">
        <f t="shared" si="2"/>
        <v>75.78</v>
      </c>
    </row>
    <row r="182" spans="1:4">
      <c r="A182" s="128" t="s">
        <v>499</v>
      </c>
      <c r="B182" s="192">
        <v>7635</v>
      </c>
      <c r="C182" s="131">
        <v>8000</v>
      </c>
      <c r="D182" s="123">
        <f t="shared" si="2"/>
        <v>95.44</v>
      </c>
    </row>
    <row r="183" spans="1:4">
      <c r="A183" s="128" t="s">
        <v>500</v>
      </c>
      <c r="B183" s="192">
        <v>410</v>
      </c>
      <c r="C183" s="131">
        <v>408</v>
      </c>
      <c r="D183" s="123">
        <f t="shared" si="2"/>
        <v>100.49</v>
      </c>
    </row>
    <row r="184" spans="1:4">
      <c r="A184" s="128" t="s">
        <v>501</v>
      </c>
      <c r="B184" s="192">
        <v>600</v>
      </c>
      <c r="C184" s="131">
        <v>3000</v>
      </c>
      <c r="D184" s="123">
        <f t="shared" si="2"/>
        <v>20</v>
      </c>
    </row>
    <row r="185" spans="1:4">
      <c r="A185" s="186" t="s">
        <v>813</v>
      </c>
      <c r="B185" s="192">
        <v>130</v>
      </c>
      <c r="C185" s="131"/>
      <c r="D185" s="123">
        <f t="shared" si="2"/>
        <v>0</v>
      </c>
    </row>
    <row r="186" spans="1:4">
      <c r="A186" s="183" t="s">
        <v>814</v>
      </c>
      <c r="B186" s="192">
        <v>130</v>
      </c>
      <c r="C186" s="131">
        <v>0</v>
      </c>
      <c r="D186" s="123">
        <f t="shared" si="2"/>
        <v>0</v>
      </c>
    </row>
    <row r="187" spans="1:4">
      <c r="A187" s="127" t="s">
        <v>502</v>
      </c>
      <c r="B187" s="192">
        <v>916</v>
      </c>
      <c r="C187" s="131">
        <f>785+80</f>
        <v>865</v>
      </c>
      <c r="D187" s="123">
        <f t="shared" si="2"/>
        <v>105.9</v>
      </c>
    </row>
    <row r="188" spans="1:4">
      <c r="A188" s="128" t="s">
        <v>503</v>
      </c>
      <c r="B188" s="192">
        <v>203</v>
      </c>
      <c r="C188" s="131">
        <v>217</v>
      </c>
      <c r="D188" s="123">
        <f t="shared" si="2"/>
        <v>93.55</v>
      </c>
    </row>
    <row r="189" spans="1:4">
      <c r="A189" s="128" t="s">
        <v>504</v>
      </c>
      <c r="B189" s="192">
        <v>400</v>
      </c>
      <c r="C189" s="131">
        <v>398</v>
      </c>
      <c r="D189" s="123">
        <f t="shared" si="2"/>
        <v>100.5</v>
      </c>
    </row>
    <row r="190" spans="1:4">
      <c r="A190" s="128" t="s">
        <v>505</v>
      </c>
      <c r="B190" s="192">
        <v>259</v>
      </c>
      <c r="C190" s="131">
        <f>150+80</f>
        <v>230</v>
      </c>
      <c r="D190" s="123">
        <f t="shared" si="2"/>
        <v>112.61</v>
      </c>
    </row>
    <row r="191" spans="1:4">
      <c r="A191" s="128" t="s">
        <v>506</v>
      </c>
      <c r="B191" s="192">
        <v>54</v>
      </c>
      <c r="C191" s="131">
        <v>20</v>
      </c>
      <c r="D191" s="123">
        <f t="shared" si="2"/>
        <v>270</v>
      </c>
    </row>
    <row r="192" spans="1:4">
      <c r="A192" s="127" t="s">
        <v>507</v>
      </c>
      <c r="B192" s="192">
        <v>33937</v>
      </c>
      <c r="C192" s="131">
        <v>23786</v>
      </c>
      <c r="D192" s="123">
        <f t="shared" si="2"/>
        <v>142.68</v>
      </c>
    </row>
    <row r="193" spans="1:4">
      <c r="A193" s="128" t="s">
        <v>508</v>
      </c>
      <c r="B193" s="192">
        <v>33937</v>
      </c>
      <c r="C193" s="131">
        <v>23786</v>
      </c>
      <c r="D193" s="123">
        <f t="shared" si="2"/>
        <v>142.68</v>
      </c>
    </row>
    <row r="194" spans="1:4">
      <c r="A194" s="126" t="s">
        <v>509</v>
      </c>
      <c r="B194" s="192">
        <v>29852</v>
      </c>
      <c r="C194" s="131">
        <f>24400+1032</f>
        <v>25432</v>
      </c>
      <c r="D194" s="123">
        <f t="shared" si="2"/>
        <v>117.38</v>
      </c>
    </row>
    <row r="195" spans="1:4">
      <c r="A195" s="127" t="s">
        <v>510</v>
      </c>
      <c r="B195" s="192">
        <v>16424</v>
      </c>
      <c r="C195" s="131">
        <f>16151+179</f>
        <v>16330</v>
      </c>
      <c r="D195" s="123">
        <f t="shared" si="2"/>
        <v>100.58</v>
      </c>
    </row>
    <row r="196" spans="1:4">
      <c r="A196" s="128" t="s">
        <v>386</v>
      </c>
      <c r="B196" s="192">
        <v>435</v>
      </c>
      <c r="C196" s="131">
        <v>522</v>
      </c>
      <c r="D196" s="123">
        <f t="shared" si="2"/>
        <v>83.33</v>
      </c>
    </row>
    <row r="197" spans="1:4">
      <c r="A197" s="128" t="s">
        <v>511</v>
      </c>
      <c r="B197" s="192">
        <v>1122</v>
      </c>
      <c r="C197" s="131">
        <v>1180</v>
      </c>
      <c r="D197" s="123">
        <f t="shared" si="2"/>
        <v>95.08</v>
      </c>
    </row>
    <row r="198" spans="1:4">
      <c r="A198" s="128" t="s">
        <v>512</v>
      </c>
      <c r="B198" s="192">
        <v>54</v>
      </c>
      <c r="C198" s="131">
        <v>54</v>
      </c>
      <c r="D198" s="123">
        <f t="shared" ref="D198:D261" si="3">IF(C198&lt;&gt;0,B198/C198*100,0)</f>
        <v>100</v>
      </c>
    </row>
    <row r="199" spans="1:4">
      <c r="A199" s="128" t="s">
        <v>513</v>
      </c>
      <c r="B199" s="192">
        <v>1051</v>
      </c>
      <c r="C199" s="131">
        <v>979</v>
      </c>
      <c r="D199" s="123">
        <f t="shared" si="3"/>
        <v>107.35</v>
      </c>
    </row>
    <row r="200" spans="1:4">
      <c r="A200" s="128" t="s">
        <v>514</v>
      </c>
      <c r="B200" s="192">
        <v>995</v>
      </c>
      <c r="C200" s="131">
        <f>887+104</f>
        <v>991</v>
      </c>
      <c r="D200" s="123">
        <f t="shared" si="3"/>
        <v>100.4</v>
      </c>
    </row>
    <row r="201" spans="1:4">
      <c r="A201" s="128" t="s">
        <v>515</v>
      </c>
      <c r="B201" s="192">
        <v>70</v>
      </c>
      <c r="C201" s="131">
        <v>517</v>
      </c>
      <c r="D201" s="123">
        <f t="shared" si="3"/>
        <v>13.54</v>
      </c>
    </row>
    <row r="202" spans="1:4">
      <c r="A202" s="128" t="s">
        <v>516</v>
      </c>
      <c r="B202" s="192">
        <v>240</v>
      </c>
      <c r="C202" s="131">
        <v>232</v>
      </c>
      <c r="D202" s="123">
        <f t="shared" si="3"/>
        <v>103.45</v>
      </c>
    </row>
    <row r="203" spans="1:4">
      <c r="A203" s="129" t="s">
        <v>815</v>
      </c>
      <c r="B203" s="192">
        <v>1250</v>
      </c>
      <c r="C203" s="131">
        <v>1000</v>
      </c>
      <c r="D203" s="123">
        <f t="shared" si="3"/>
        <v>125</v>
      </c>
    </row>
    <row r="204" spans="1:4">
      <c r="A204" s="128" t="s">
        <v>517</v>
      </c>
      <c r="B204" s="192">
        <v>11207</v>
      </c>
      <c r="C204" s="131">
        <f>10780+75</f>
        <v>10855</v>
      </c>
      <c r="D204" s="123">
        <f t="shared" si="3"/>
        <v>103.24</v>
      </c>
    </row>
    <row r="205" spans="1:4">
      <c r="A205" s="127" t="s">
        <v>518</v>
      </c>
      <c r="B205" s="192">
        <v>769</v>
      </c>
      <c r="C205" s="131">
        <f>583+710</f>
        <v>1293</v>
      </c>
      <c r="D205" s="123">
        <f t="shared" si="3"/>
        <v>59.47</v>
      </c>
    </row>
    <row r="206" spans="1:4">
      <c r="A206" s="128" t="s">
        <v>519</v>
      </c>
      <c r="B206" s="192">
        <v>311</v>
      </c>
      <c r="C206" s="131">
        <f>250+560</f>
        <v>810</v>
      </c>
      <c r="D206" s="123">
        <f t="shared" si="3"/>
        <v>38.4</v>
      </c>
    </row>
    <row r="207" spans="1:4">
      <c r="A207" s="128" t="s">
        <v>520</v>
      </c>
      <c r="B207" s="192">
        <v>458</v>
      </c>
      <c r="C207" s="131">
        <f>333+150</f>
        <v>483</v>
      </c>
      <c r="D207" s="123">
        <f t="shared" si="3"/>
        <v>94.82</v>
      </c>
    </row>
    <row r="208" spans="1:4">
      <c r="A208" s="127" t="s">
        <v>521</v>
      </c>
      <c r="B208" s="192">
        <v>7706</v>
      </c>
      <c r="C208" s="131">
        <f>1538+46</f>
        <v>1584</v>
      </c>
      <c r="D208" s="123">
        <f t="shared" si="3"/>
        <v>486.49</v>
      </c>
    </row>
    <row r="209" spans="1:4">
      <c r="A209" s="187" t="s">
        <v>816</v>
      </c>
      <c r="B209" s="192">
        <v>92</v>
      </c>
      <c r="C209" s="131">
        <v>10</v>
      </c>
      <c r="D209" s="123">
        <f t="shared" si="3"/>
        <v>920</v>
      </c>
    </row>
    <row r="210" spans="1:4">
      <c r="A210" s="128" t="s">
        <v>522</v>
      </c>
      <c r="B210" s="192">
        <v>5000</v>
      </c>
      <c r="C210" s="131">
        <v>12</v>
      </c>
      <c r="D210" s="123">
        <f t="shared" si="3"/>
        <v>41666.67</v>
      </c>
    </row>
    <row r="211" spans="1:4">
      <c r="A211" s="128" t="s">
        <v>523</v>
      </c>
      <c r="B211" s="192">
        <v>761</v>
      </c>
      <c r="C211" s="131">
        <v>711</v>
      </c>
      <c r="D211" s="123">
        <f t="shared" si="3"/>
        <v>107.03</v>
      </c>
    </row>
    <row r="212" spans="1:4">
      <c r="A212" s="128" t="s">
        <v>524</v>
      </c>
      <c r="B212" s="192">
        <v>285</v>
      </c>
      <c r="C212" s="131">
        <f>286+46</f>
        <v>332</v>
      </c>
      <c r="D212" s="123">
        <f t="shared" si="3"/>
        <v>85.84</v>
      </c>
    </row>
    <row r="213" spans="1:4">
      <c r="A213" s="128" t="s">
        <v>525</v>
      </c>
      <c r="B213" s="192">
        <v>360</v>
      </c>
      <c r="C213" s="131">
        <v>350</v>
      </c>
      <c r="D213" s="123">
        <f t="shared" si="3"/>
        <v>102.86</v>
      </c>
    </row>
    <row r="214" spans="1:4">
      <c r="A214" s="128" t="s">
        <v>526</v>
      </c>
      <c r="B214" s="192">
        <v>1208</v>
      </c>
      <c r="C214" s="131">
        <v>169</v>
      </c>
      <c r="D214" s="123">
        <f t="shared" si="3"/>
        <v>714.79</v>
      </c>
    </row>
    <row r="215" spans="1:4">
      <c r="A215" s="127" t="s">
        <v>527</v>
      </c>
      <c r="B215" s="192">
        <v>539</v>
      </c>
      <c r="C215" s="131">
        <v>527</v>
      </c>
      <c r="D215" s="123">
        <f t="shared" si="3"/>
        <v>102.28</v>
      </c>
    </row>
    <row r="216" spans="1:4">
      <c r="A216" s="128" t="s">
        <v>528</v>
      </c>
      <c r="B216" s="192">
        <v>500</v>
      </c>
      <c r="C216" s="131">
        <v>432</v>
      </c>
      <c r="D216" s="123">
        <f t="shared" si="3"/>
        <v>115.74</v>
      </c>
    </row>
    <row r="217" spans="1:4">
      <c r="A217" s="128" t="s">
        <v>529</v>
      </c>
      <c r="B217" s="192">
        <v>39</v>
      </c>
      <c r="C217" s="131">
        <v>66</v>
      </c>
      <c r="D217" s="123">
        <f t="shared" si="3"/>
        <v>59.09</v>
      </c>
    </row>
    <row r="218" spans="1:4">
      <c r="A218" s="128" t="s">
        <v>530</v>
      </c>
      <c r="B218" s="192">
        <v>0</v>
      </c>
      <c r="C218" s="131">
        <v>29</v>
      </c>
      <c r="D218" s="123">
        <f t="shared" si="3"/>
        <v>0</v>
      </c>
    </row>
    <row r="219" spans="1:4">
      <c r="A219" s="127" t="s">
        <v>531</v>
      </c>
      <c r="B219" s="192">
        <v>2778</v>
      </c>
      <c r="C219" s="131">
        <f>2565+31</f>
        <v>2596</v>
      </c>
      <c r="D219" s="123">
        <f t="shared" si="3"/>
        <v>107.01</v>
      </c>
    </row>
    <row r="220" spans="1:4">
      <c r="A220" s="128" t="s">
        <v>386</v>
      </c>
      <c r="B220" s="192">
        <v>2257</v>
      </c>
      <c r="C220" s="131">
        <v>1250</v>
      </c>
      <c r="D220" s="123">
        <f t="shared" si="3"/>
        <v>180.56</v>
      </c>
    </row>
    <row r="221" spans="1:4">
      <c r="A221" s="128" t="s">
        <v>532</v>
      </c>
      <c r="B221" s="192">
        <v>60</v>
      </c>
      <c r="C221" s="131">
        <v>60</v>
      </c>
      <c r="D221" s="123">
        <f t="shared" si="3"/>
        <v>100</v>
      </c>
    </row>
    <row r="222" spans="1:4">
      <c r="A222" s="128" t="s">
        <v>533</v>
      </c>
      <c r="B222" s="192">
        <v>461</v>
      </c>
      <c r="C222" s="131">
        <f>1255+31</f>
        <v>1286</v>
      </c>
      <c r="D222" s="123">
        <f t="shared" si="3"/>
        <v>35.85</v>
      </c>
    </row>
    <row r="223" spans="1:4">
      <c r="A223" s="130" t="s">
        <v>817</v>
      </c>
      <c r="B223" s="192">
        <v>1636</v>
      </c>
      <c r="C223" s="131">
        <f>3036+66</f>
        <v>3102</v>
      </c>
      <c r="D223" s="123">
        <f t="shared" si="3"/>
        <v>52.74</v>
      </c>
    </row>
    <row r="224" spans="1:4">
      <c r="A224" s="128" t="s">
        <v>534</v>
      </c>
      <c r="B224" s="192">
        <v>1200</v>
      </c>
      <c r="C224" s="131">
        <v>1500</v>
      </c>
      <c r="D224" s="123">
        <f t="shared" si="3"/>
        <v>80</v>
      </c>
    </row>
    <row r="225" spans="1:4">
      <c r="A225" s="129" t="s">
        <v>818</v>
      </c>
      <c r="B225" s="192">
        <v>436</v>
      </c>
      <c r="C225" s="194">
        <f>1536+66</f>
        <v>1602</v>
      </c>
      <c r="D225" s="123">
        <f t="shared" si="3"/>
        <v>27.22</v>
      </c>
    </row>
    <row r="226" spans="1:4">
      <c r="A226" s="126" t="s">
        <v>316</v>
      </c>
      <c r="B226" s="192">
        <v>155863</v>
      </c>
      <c r="C226" s="131">
        <f>132400+16688</f>
        <v>149088</v>
      </c>
      <c r="D226" s="123">
        <f t="shared" si="3"/>
        <v>104.54</v>
      </c>
    </row>
    <row r="227" spans="1:4">
      <c r="A227" s="127" t="s">
        <v>535</v>
      </c>
      <c r="B227" s="192">
        <v>3115</v>
      </c>
      <c r="C227" s="131">
        <f>2797+11</f>
        <v>2808</v>
      </c>
      <c r="D227" s="123">
        <f t="shared" si="3"/>
        <v>110.93</v>
      </c>
    </row>
    <row r="228" spans="1:4">
      <c r="A228" s="128" t="s">
        <v>386</v>
      </c>
      <c r="B228" s="192">
        <v>575</v>
      </c>
      <c r="C228" s="131">
        <v>750</v>
      </c>
      <c r="D228" s="123">
        <f t="shared" si="3"/>
        <v>76.67</v>
      </c>
    </row>
    <row r="229" spans="1:4">
      <c r="A229" s="128" t="s">
        <v>536</v>
      </c>
      <c r="B229" s="192">
        <v>425</v>
      </c>
      <c r="C229" s="131">
        <v>47</v>
      </c>
      <c r="D229" s="123">
        <f t="shared" si="3"/>
        <v>904.26</v>
      </c>
    </row>
    <row r="230" spans="1:4">
      <c r="A230" s="128" t="s">
        <v>537</v>
      </c>
      <c r="B230" s="192">
        <v>180</v>
      </c>
      <c r="C230" s="131">
        <v>177</v>
      </c>
      <c r="D230" s="123">
        <f t="shared" si="3"/>
        <v>101.69</v>
      </c>
    </row>
    <row r="231" spans="1:4">
      <c r="A231" s="128" t="s">
        <v>538</v>
      </c>
      <c r="B231" s="192">
        <v>54</v>
      </c>
      <c r="C231" s="131">
        <v>60</v>
      </c>
      <c r="D231" s="123">
        <f t="shared" si="3"/>
        <v>90</v>
      </c>
    </row>
    <row r="232" spans="1:4">
      <c r="A232" s="183" t="s">
        <v>819</v>
      </c>
      <c r="B232" s="192">
        <v>56</v>
      </c>
      <c r="C232" s="131">
        <v>11</v>
      </c>
      <c r="D232" s="123">
        <f t="shared" si="3"/>
        <v>509.09</v>
      </c>
    </row>
    <row r="233" spans="1:4">
      <c r="A233" s="128" t="s">
        <v>539</v>
      </c>
      <c r="B233" s="192">
        <v>514</v>
      </c>
      <c r="C233" s="131">
        <v>550</v>
      </c>
      <c r="D233" s="123">
        <f t="shared" si="3"/>
        <v>93.45</v>
      </c>
    </row>
    <row r="234" spans="1:4">
      <c r="A234" s="128" t="s">
        <v>540</v>
      </c>
      <c r="B234" s="192">
        <v>1016</v>
      </c>
      <c r="C234" s="131">
        <v>821</v>
      </c>
      <c r="D234" s="123">
        <f t="shared" si="3"/>
        <v>123.75</v>
      </c>
    </row>
    <row r="235" spans="1:4">
      <c r="A235" s="128" t="s">
        <v>541</v>
      </c>
      <c r="B235" s="192">
        <v>170</v>
      </c>
      <c r="C235" s="131">
        <v>80</v>
      </c>
      <c r="D235" s="123">
        <f t="shared" si="3"/>
        <v>212.5</v>
      </c>
    </row>
    <row r="236" spans="1:4">
      <c r="A236" s="128" t="s">
        <v>542</v>
      </c>
      <c r="B236" s="192">
        <v>125</v>
      </c>
      <c r="C236" s="131">
        <v>312</v>
      </c>
      <c r="D236" s="123">
        <f t="shared" si="3"/>
        <v>40.06</v>
      </c>
    </row>
    <row r="237" spans="1:4">
      <c r="A237" s="127" t="s">
        <v>543</v>
      </c>
      <c r="B237" s="192">
        <v>3527</v>
      </c>
      <c r="C237" s="131">
        <v>1876</v>
      </c>
      <c r="D237" s="123">
        <f t="shared" si="3"/>
        <v>188.01</v>
      </c>
    </row>
    <row r="238" spans="1:4">
      <c r="A238" s="128" t="s">
        <v>386</v>
      </c>
      <c r="B238" s="192">
        <v>282</v>
      </c>
      <c r="C238" s="131">
        <v>295</v>
      </c>
      <c r="D238" s="123">
        <f t="shared" si="3"/>
        <v>95.59</v>
      </c>
    </row>
    <row r="239" spans="1:4">
      <c r="A239" s="128" t="s">
        <v>544</v>
      </c>
      <c r="B239" s="192">
        <v>171</v>
      </c>
      <c r="C239" s="131">
        <v>163</v>
      </c>
      <c r="D239" s="123">
        <f t="shared" si="3"/>
        <v>104.91</v>
      </c>
    </row>
    <row r="240" spans="1:4">
      <c r="A240" s="128" t="s">
        <v>545</v>
      </c>
      <c r="B240" s="192">
        <v>3074</v>
      </c>
      <c r="C240" s="131">
        <v>1418</v>
      </c>
      <c r="D240" s="123">
        <f t="shared" si="3"/>
        <v>216.78</v>
      </c>
    </row>
    <row r="241" spans="1:4">
      <c r="A241" s="130" t="s">
        <v>820</v>
      </c>
      <c r="B241" s="192">
        <v>72418</v>
      </c>
      <c r="C241" s="131">
        <v>58693</v>
      </c>
      <c r="D241" s="123">
        <f t="shared" si="3"/>
        <v>123.38</v>
      </c>
    </row>
    <row r="242" spans="1:4">
      <c r="A242" s="128" t="s">
        <v>546</v>
      </c>
      <c r="B242" s="192">
        <v>30653</v>
      </c>
      <c r="C242" s="131">
        <v>32065</v>
      </c>
      <c r="D242" s="123">
        <f t="shared" si="3"/>
        <v>95.6</v>
      </c>
    </row>
    <row r="243" spans="1:4">
      <c r="A243" s="128" t="s">
        <v>547</v>
      </c>
      <c r="B243" s="192">
        <v>15332</v>
      </c>
      <c r="C243" s="131">
        <v>14187</v>
      </c>
      <c r="D243" s="123">
        <f t="shared" si="3"/>
        <v>108.07</v>
      </c>
    </row>
    <row r="244" spans="1:4">
      <c r="A244" s="129" t="s">
        <v>821</v>
      </c>
      <c r="B244" s="192">
        <v>26433</v>
      </c>
      <c r="C244" s="131">
        <v>12441</v>
      </c>
      <c r="D244" s="123">
        <f t="shared" si="3"/>
        <v>212.47</v>
      </c>
    </row>
    <row r="245" spans="1:4">
      <c r="A245" s="130" t="s">
        <v>822</v>
      </c>
      <c r="B245" s="192">
        <v>336</v>
      </c>
      <c r="C245" s="131">
        <v>352</v>
      </c>
      <c r="D245" s="123">
        <f t="shared" si="3"/>
        <v>95.45</v>
      </c>
    </row>
    <row r="246" spans="1:4">
      <c r="A246" s="129" t="s">
        <v>823</v>
      </c>
      <c r="B246" s="192">
        <v>336</v>
      </c>
      <c r="C246" s="131">
        <v>352</v>
      </c>
      <c r="D246" s="123">
        <f t="shared" si="3"/>
        <v>95.45</v>
      </c>
    </row>
    <row r="247" spans="1:4">
      <c r="A247" s="127" t="s">
        <v>548</v>
      </c>
      <c r="B247" s="192">
        <v>7208</v>
      </c>
      <c r="C247" s="131">
        <f>6031+2301</f>
        <v>8332</v>
      </c>
      <c r="D247" s="123">
        <f t="shared" si="3"/>
        <v>86.51</v>
      </c>
    </row>
    <row r="248" spans="1:4">
      <c r="A248" s="183" t="s">
        <v>549</v>
      </c>
      <c r="B248" s="192">
        <v>202</v>
      </c>
      <c r="C248" s="131">
        <f>1631+2246</f>
        <v>3877</v>
      </c>
      <c r="D248" s="123">
        <f t="shared" si="3"/>
        <v>5.21</v>
      </c>
    </row>
    <row r="249" spans="1:4">
      <c r="A249" s="128" t="s">
        <v>550</v>
      </c>
      <c r="B249" s="192">
        <v>2460</v>
      </c>
      <c r="C249" s="131">
        <v>4100</v>
      </c>
      <c r="D249" s="123">
        <f t="shared" si="3"/>
        <v>60</v>
      </c>
    </row>
    <row r="250" spans="1:4">
      <c r="A250" s="128" t="s">
        <v>551</v>
      </c>
      <c r="B250" s="192">
        <v>4546</v>
      </c>
      <c r="C250" s="131">
        <f>300+55</f>
        <v>355</v>
      </c>
      <c r="D250" s="123">
        <f t="shared" si="3"/>
        <v>1280.56</v>
      </c>
    </row>
    <row r="251" spans="1:4">
      <c r="A251" s="127" t="s">
        <v>552</v>
      </c>
      <c r="B251" s="192">
        <v>2789</v>
      </c>
      <c r="C251" s="131">
        <v>51</v>
      </c>
      <c r="D251" s="123">
        <f t="shared" si="3"/>
        <v>5468.63</v>
      </c>
    </row>
    <row r="252" spans="1:4">
      <c r="A252" s="128" t="s">
        <v>553</v>
      </c>
      <c r="B252" s="192">
        <v>2779</v>
      </c>
      <c r="C252" s="131">
        <v>41</v>
      </c>
      <c r="D252" s="123">
        <f t="shared" si="3"/>
        <v>6778.05</v>
      </c>
    </row>
    <row r="253" spans="1:4">
      <c r="A253" s="129" t="s">
        <v>824</v>
      </c>
      <c r="B253" s="192">
        <v>10</v>
      </c>
      <c r="C253" s="131">
        <v>10</v>
      </c>
      <c r="D253" s="123">
        <f t="shared" si="3"/>
        <v>100</v>
      </c>
    </row>
    <row r="254" spans="1:4">
      <c r="A254" s="127" t="s">
        <v>554</v>
      </c>
      <c r="B254" s="192">
        <v>6498</v>
      </c>
      <c r="C254" s="131">
        <f>20670+64</f>
        <v>20734</v>
      </c>
      <c r="D254" s="123">
        <f t="shared" si="3"/>
        <v>31.34</v>
      </c>
    </row>
    <row r="255" spans="1:4">
      <c r="A255" s="128" t="s">
        <v>555</v>
      </c>
      <c r="B255" s="192">
        <v>180</v>
      </c>
      <c r="C255" s="131">
        <f>94+64</f>
        <v>158</v>
      </c>
      <c r="D255" s="123">
        <f t="shared" si="3"/>
        <v>113.92</v>
      </c>
    </row>
    <row r="256" spans="1:4">
      <c r="A256" s="128" t="s">
        <v>556</v>
      </c>
      <c r="B256" s="192">
        <v>1276</v>
      </c>
      <c r="C256" s="131">
        <v>1428</v>
      </c>
      <c r="D256" s="123">
        <f t="shared" si="3"/>
        <v>89.36</v>
      </c>
    </row>
    <row r="257" spans="1:4">
      <c r="A257" s="128" t="s">
        <v>557</v>
      </c>
      <c r="B257" s="192">
        <v>948</v>
      </c>
      <c r="C257" s="131">
        <v>4023</v>
      </c>
      <c r="D257" s="123">
        <f t="shared" si="3"/>
        <v>23.56</v>
      </c>
    </row>
    <row r="258" spans="1:4">
      <c r="A258" s="128" t="s">
        <v>558</v>
      </c>
      <c r="B258" s="192">
        <v>4094</v>
      </c>
      <c r="C258" s="131">
        <v>15125</v>
      </c>
      <c r="D258" s="123">
        <f t="shared" si="3"/>
        <v>27.07</v>
      </c>
    </row>
    <row r="259" spans="1:4">
      <c r="A259" s="127" t="s">
        <v>559</v>
      </c>
      <c r="B259" s="192">
        <v>5442</v>
      </c>
      <c r="C259" s="131">
        <f>5360+218</f>
        <v>5578</v>
      </c>
      <c r="D259" s="123">
        <f t="shared" si="3"/>
        <v>97.56</v>
      </c>
    </row>
    <row r="260" spans="1:4">
      <c r="A260" s="128" t="s">
        <v>386</v>
      </c>
      <c r="B260" s="192">
        <v>273</v>
      </c>
      <c r="C260" s="131">
        <v>374</v>
      </c>
      <c r="D260" s="123">
        <f t="shared" si="3"/>
        <v>72.989999999999995</v>
      </c>
    </row>
    <row r="261" spans="1:4">
      <c r="A261" s="128" t="s">
        <v>387</v>
      </c>
      <c r="B261" s="192">
        <v>62</v>
      </c>
      <c r="C261" s="131">
        <v>56</v>
      </c>
      <c r="D261" s="123">
        <f t="shared" si="3"/>
        <v>110.71</v>
      </c>
    </row>
    <row r="262" spans="1:4">
      <c r="A262" s="129" t="s">
        <v>825</v>
      </c>
      <c r="B262" s="192">
        <v>113</v>
      </c>
      <c r="C262" s="131">
        <v>53</v>
      </c>
      <c r="D262" s="123">
        <f t="shared" ref="D262:D325" si="4">IF(C262&lt;&gt;0,B262/C262*100,0)</f>
        <v>213.21</v>
      </c>
    </row>
    <row r="263" spans="1:4">
      <c r="A263" s="129" t="s">
        <v>826</v>
      </c>
      <c r="B263" s="192">
        <v>56</v>
      </c>
      <c r="C263" s="131">
        <v>21</v>
      </c>
      <c r="D263" s="123">
        <f t="shared" si="4"/>
        <v>266.67</v>
      </c>
    </row>
    <row r="264" spans="1:4">
      <c r="A264" s="128" t="s">
        <v>560</v>
      </c>
      <c r="B264" s="192">
        <v>2478</v>
      </c>
      <c r="C264" s="131">
        <v>116</v>
      </c>
      <c r="D264" s="123">
        <f t="shared" si="4"/>
        <v>2136.21</v>
      </c>
    </row>
    <row r="265" spans="1:4">
      <c r="A265" s="128" t="s">
        <v>561</v>
      </c>
      <c r="B265" s="192">
        <v>2460</v>
      </c>
      <c r="C265" s="131">
        <f>4930+28</f>
        <v>4958</v>
      </c>
      <c r="D265" s="123">
        <f t="shared" si="4"/>
        <v>49.62</v>
      </c>
    </row>
    <row r="266" spans="1:4">
      <c r="A266" s="127" t="s">
        <v>562</v>
      </c>
      <c r="B266" s="192">
        <v>217</v>
      </c>
      <c r="C266" s="131">
        <v>251</v>
      </c>
      <c r="D266" s="123">
        <f t="shared" si="4"/>
        <v>86.45</v>
      </c>
    </row>
    <row r="267" spans="1:4">
      <c r="A267" s="128" t="s">
        <v>563</v>
      </c>
      <c r="B267" s="192">
        <v>217</v>
      </c>
      <c r="C267" s="131">
        <v>251</v>
      </c>
      <c r="D267" s="123">
        <f t="shared" si="4"/>
        <v>86.45</v>
      </c>
    </row>
    <row r="268" spans="1:4">
      <c r="A268" s="127" t="s">
        <v>564</v>
      </c>
      <c r="B268" s="192">
        <v>6816</v>
      </c>
      <c r="C268" s="131">
        <f>4950+589</f>
        <v>5539</v>
      </c>
      <c r="D268" s="123">
        <f t="shared" si="4"/>
        <v>123.05</v>
      </c>
    </row>
    <row r="269" spans="1:4">
      <c r="A269" s="128" t="s">
        <v>565</v>
      </c>
      <c r="B269" s="192">
        <v>2160</v>
      </c>
      <c r="C269" s="131">
        <v>1276</v>
      </c>
      <c r="D269" s="123">
        <f t="shared" si="4"/>
        <v>169.28</v>
      </c>
    </row>
    <row r="270" spans="1:4">
      <c r="A270" s="128" t="s">
        <v>566</v>
      </c>
      <c r="B270" s="192">
        <v>4656</v>
      </c>
      <c r="C270" s="131">
        <v>4263</v>
      </c>
      <c r="D270" s="123">
        <f t="shared" si="4"/>
        <v>109.22</v>
      </c>
    </row>
    <row r="271" spans="1:4">
      <c r="A271" s="186" t="s">
        <v>827</v>
      </c>
      <c r="B271" s="192">
        <v>3302</v>
      </c>
      <c r="C271" s="195">
        <v>3302</v>
      </c>
      <c r="D271" s="123">
        <f t="shared" si="4"/>
        <v>100</v>
      </c>
    </row>
    <row r="272" spans="1:4">
      <c r="A272" s="183" t="s">
        <v>828</v>
      </c>
      <c r="B272" s="192">
        <v>3166</v>
      </c>
      <c r="C272" s="131">
        <v>143</v>
      </c>
      <c r="D272" s="123">
        <f t="shared" si="4"/>
        <v>2213.9899999999998</v>
      </c>
    </row>
    <row r="273" spans="1:4">
      <c r="A273" s="183" t="s">
        <v>829</v>
      </c>
      <c r="B273" s="192">
        <v>136</v>
      </c>
      <c r="C273" s="131">
        <v>57</v>
      </c>
      <c r="D273" s="123">
        <f t="shared" si="4"/>
        <v>238.6</v>
      </c>
    </row>
    <row r="274" spans="1:4">
      <c r="A274" s="186" t="s">
        <v>830</v>
      </c>
      <c r="B274" s="192">
        <v>182</v>
      </c>
      <c r="C274" s="195">
        <v>182</v>
      </c>
      <c r="D274" s="123">
        <f t="shared" si="4"/>
        <v>100</v>
      </c>
    </row>
    <row r="275" spans="1:4">
      <c r="A275" s="183" t="s">
        <v>831</v>
      </c>
      <c r="B275" s="192">
        <v>39</v>
      </c>
      <c r="C275" s="131">
        <v>24</v>
      </c>
      <c r="D275" s="123">
        <f t="shared" si="4"/>
        <v>162.5</v>
      </c>
    </row>
    <row r="276" spans="1:4">
      <c r="A276" s="183" t="s">
        <v>832</v>
      </c>
      <c r="B276" s="192">
        <v>143</v>
      </c>
      <c r="C276" s="131">
        <v>86</v>
      </c>
      <c r="D276" s="123">
        <f t="shared" si="4"/>
        <v>166.28</v>
      </c>
    </row>
    <row r="277" spans="1:4">
      <c r="A277" s="127" t="s">
        <v>567</v>
      </c>
      <c r="B277" s="192">
        <v>41106</v>
      </c>
      <c r="C277" s="131">
        <f>29751+12742</f>
        <v>42493</v>
      </c>
      <c r="D277" s="123">
        <f t="shared" si="4"/>
        <v>96.74</v>
      </c>
    </row>
    <row r="278" spans="1:4">
      <c r="A278" s="128" t="s">
        <v>568</v>
      </c>
      <c r="B278" s="192">
        <v>0</v>
      </c>
      <c r="C278" s="131">
        <v>3800</v>
      </c>
      <c r="D278" s="123">
        <f t="shared" si="4"/>
        <v>0</v>
      </c>
    </row>
    <row r="279" spans="1:4">
      <c r="A279" s="128" t="s">
        <v>569</v>
      </c>
      <c r="B279" s="192">
        <v>41106</v>
      </c>
      <c r="C279" s="131">
        <f>25951+12742</f>
        <v>38693</v>
      </c>
      <c r="D279" s="123">
        <f t="shared" si="4"/>
        <v>106.24</v>
      </c>
    </row>
    <row r="280" spans="1:4">
      <c r="A280" s="127" t="s">
        <v>570</v>
      </c>
      <c r="B280" s="192">
        <v>948</v>
      </c>
      <c r="C280" s="131">
        <v>64</v>
      </c>
      <c r="D280" s="123">
        <f t="shared" si="4"/>
        <v>1481.25</v>
      </c>
    </row>
    <row r="281" spans="1:4">
      <c r="A281" s="188" t="s">
        <v>386</v>
      </c>
      <c r="B281" s="192">
        <v>639</v>
      </c>
      <c r="C281" s="131">
        <v>0</v>
      </c>
      <c r="D281" s="123">
        <f t="shared" si="4"/>
        <v>0</v>
      </c>
    </row>
    <row r="282" spans="1:4">
      <c r="A282" s="128" t="s">
        <v>571</v>
      </c>
      <c r="B282" s="192">
        <v>161</v>
      </c>
      <c r="C282" s="131">
        <v>64</v>
      </c>
      <c r="D282" s="123">
        <f t="shared" si="4"/>
        <v>251.56</v>
      </c>
    </row>
    <row r="283" spans="1:4">
      <c r="A283" s="183" t="s">
        <v>396</v>
      </c>
      <c r="B283" s="192">
        <v>148</v>
      </c>
      <c r="C283" s="131">
        <v>0</v>
      </c>
      <c r="D283" s="123">
        <f t="shared" si="4"/>
        <v>0</v>
      </c>
    </row>
    <row r="284" spans="1:4">
      <c r="A284" s="127" t="s">
        <v>572</v>
      </c>
      <c r="B284" s="192">
        <v>1959</v>
      </c>
      <c r="C284" s="131">
        <f>1957+50</f>
        <v>2007</v>
      </c>
      <c r="D284" s="123">
        <f t="shared" si="4"/>
        <v>97.61</v>
      </c>
    </row>
    <row r="285" spans="1:4">
      <c r="A285" s="128" t="s">
        <v>573</v>
      </c>
      <c r="B285" s="192">
        <v>1959</v>
      </c>
      <c r="C285" s="131">
        <f>1957+50</f>
        <v>2007</v>
      </c>
      <c r="D285" s="123">
        <f t="shared" si="4"/>
        <v>97.61</v>
      </c>
    </row>
    <row r="286" spans="1:4">
      <c r="A286" s="126" t="s">
        <v>574</v>
      </c>
      <c r="B286" s="192">
        <v>124754</v>
      </c>
      <c r="C286" s="131">
        <f>114000+7654</f>
        <v>121654</v>
      </c>
      <c r="D286" s="123">
        <f t="shared" si="4"/>
        <v>102.55</v>
      </c>
    </row>
    <row r="287" spans="1:4">
      <c r="A287" s="127" t="s">
        <v>575</v>
      </c>
      <c r="B287" s="192">
        <v>1437</v>
      </c>
      <c r="C287" s="131">
        <v>3300</v>
      </c>
      <c r="D287" s="123">
        <f t="shared" si="4"/>
        <v>43.55</v>
      </c>
    </row>
    <row r="288" spans="1:4">
      <c r="A288" s="128" t="s">
        <v>386</v>
      </c>
      <c r="B288" s="192">
        <v>987</v>
      </c>
      <c r="C288" s="131">
        <v>819</v>
      </c>
      <c r="D288" s="123">
        <f t="shared" si="4"/>
        <v>120.51</v>
      </c>
    </row>
    <row r="289" spans="1:4">
      <c r="A289" s="128" t="s">
        <v>576</v>
      </c>
      <c r="B289" s="192">
        <v>450</v>
      </c>
      <c r="C289" s="131">
        <v>2481</v>
      </c>
      <c r="D289" s="123">
        <f t="shared" si="4"/>
        <v>18.14</v>
      </c>
    </row>
    <row r="290" spans="1:4">
      <c r="A290" s="127" t="s">
        <v>577</v>
      </c>
      <c r="B290" s="192">
        <v>20310</v>
      </c>
      <c r="C290" s="131">
        <f>17150+122</f>
        <v>17272</v>
      </c>
      <c r="D290" s="123">
        <f t="shared" si="4"/>
        <v>117.59</v>
      </c>
    </row>
    <row r="291" spans="1:4">
      <c r="A291" s="128" t="s">
        <v>578</v>
      </c>
      <c r="B291" s="192">
        <v>17542</v>
      </c>
      <c r="C291" s="131">
        <v>17150</v>
      </c>
      <c r="D291" s="123">
        <f t="shared" si="4"/>
        <v>102.29</v>
      </c>
    </row>
    <row r="292" spans="1:4">
      <c r="A292" s="183" t="s">
        <v>833</v>
      </c>
      <c r="B292" s="192">
        <v>2496</v>
      </c>
      <c r="C292" s="131">
        <v>0</v>
      </c>
      <c r="D292" s="123">
        <f t="shared" si="4"/>
        <v>0</v>
      </c>
    </row>
    <row r="293" spans="1:4">
      <c r="A293" s="129" t="s">
        <v>834</v>
      </c>
      <c r="B293" s="192">
        <v>272</v>
      </c>
      <c r="C293" s="131">
        <v>122</v>
      </c>
      <c r="D293" s="123">
        <f t="shared" si="4"/>
        <v>222.95</v>
      </c>
    </row>
    <row r="294" spans="1:4">
      <c r="A294" s="127" t="s">
        <v>579</v>
      </c>
      <c r="B294" s="192">
        <v>9663</v>
      </c>
      <c r="C294" s="131">
        <v>3650</v>
      </c>
      <c r="D294" s="123">
        <f t="shared" si="4"/>
        <v>264.74</v>
      </c>
    </row>
    <row r="295" spans="1:4">
      <c r="A295" s="128" t="s">
        <v>580</v>
      </c>
      <c r="B295" s="192">
        <v>7953</v>
      </c>
      <c r="C295" s="131">
        <f>3650+263</f>
        <v>3913</v>
      </c>
      <c r="D295" s="123">
        <f t="shared" si="4"/>
        <v>203.25</v>
      </c>
    </row>
    <row r="296" spans="1:4">
      <c r="A296" s="128" t="s">
        <v>581</v>
      </c>
      <c r="B296" s="192">
        <v>1710</v>
      </c>
      <c r="C296" s="131">
        <v>512</v>
      </c>
      <c r="D296" s="123">
        <f t="shared" si="4"/>
        <v>333.98</v>
      </c>
    </row>
    <row r="297" spans="1:4">
      <c r="A297" s="127" t="s">
        <v>582</v>
      </c>
      <c r="B297" s="192">
        <v>13117</v>
      </c>
      <c r="C297" s="131">
        <f>11873+6050</f>
        <v>17923</v>
      </c>
      <c r="D297" s="123">
        <f t="shared" si="4"/>
        <v>73.19</v>
      </c>
    </row>
    <row r="298" spans="1:4">
      <c r="A298" s="128" t="s">
        <v>583</v>
      </c>
      <c r="B298" s="192">
        <v>1669</v>
      </c>
      <c r="C298" s="131">
        <v>1508</v>
      </c>
      <c r="D298" s="123">
        <f t="shared" si="4"/>
        <v>110.68</v>
      </c>
    </row>
    <row r="299" spans="1:4">
      <c r="A299" s="128" t="s">
        <v>584</v>
      </c>
      <c r="B299" s="192">
        <v>964</v>
      </c>
      <c r="C299" s="131">
        <v>796</v>
      </c>
      <c r="D299" s="123">
        <f t="shared" si="4"/>
        <v>121.11</v>
      </c>
    </row>
    <row r="300" spans="1:4">
      <c r="A300" s="128" t="s">
        <v>585</v>
      </c>
      <c r="B300" s="192">
        <v>2941</v>
      </c>
      <c r="C300" s="131">
        <v>2421</v>
      </c>
      <c r="D300" s="123">
        <f t="shared" si="4"/>
        <v>121.48</v>
      </c>
    </row>
    <row r="301" spans="1:4">
      <c r="A301" s="128" t="s">
        <v>586</v>
      </c>
      <c r="B301" s="192">
        <v>123</v>
      </c>
      <c r="C301" s="131">
        <v>28</v>
      </c>
      <c r="D301" s="123">
        <f t="shared" si="4"/>
        <v>439.29</v>
      </c>
    </row>
    <row r="302" spans="1:4">
      <c r="A302" s="128" t="s">
        <v>587</v>
      </c>
      <c r="B302" s="192">
        <v>7340</v>
      </c>
      <c r="C302" s="131">
        <f>6820+6050</f>
        <v>12870</v>
      </c>
      <c r="D302" s="123">
        <f t="shared" si="4"/>
        <v>57.03</v>
      </c>
    </row>
    <row r="303" spans="1:4">
      <c r="A303" s="128" t="s">
        <v>588</v>
      </c>
      <c r="B303" s="192">
        <v>80</v>
      </c>
      <c r="C303" s="131">
        <v>300</v>
      </c>
      <c r="D303" s="123">
        <f t="shared" si="4"/>
        <v>26.67</v>
      </c>
    </row>
    <row r="304" spans="1:4">
      <c r="A304" s="127" t="s">
        <v>589</v>
      </c>
      <c r="B304" s="192">
        <v>9089</v>
      </c>
      <c r="C304" s="131">
        <f>7620+544</f>
        <v>8164</v>
      </c>
      <c r="D304" s="123">
        <f t="shared" si="4"/>
        <v>111.33</v>
      </c>
    </row>
    <row r="305" spans="1:4">
      <c r="A305" s="128" t="s">
        <v>590</v>
      </c>
      <c r="B305" s="192">
        <v>162</v>
      </c>
      <c r="C305" s="131">
        <v>257</v>
      </c>
      <c r="D305" s="123">
        <f t="shared" si="4"/>
        <v>63.04</v>
      </c>
    </row>
    <row r="306" spans="1:4">
      <c r="A306" s="128" t="s">
        <v>591</v>
      </c>
      <c r="B306" s="192">
        <v>6536</v>
      </c>
      <c r="C306" s="131">
        <f>4985+504</f>
        <v>5489</v>
      </c>
      <c r="D306" s="123">
        <f t="shared" si="4"/>
        <v>119.07</v>
      </c>
    </row>
    <row r="307" spans="1:4">
      <c r="A307" s="128" t="s">
        <v>592</v>
      </c>
      <c r="B307" s="192">
        <v>2391</v>
      </c>
      <c r="C307" s="131">
        <f>2378+40</f>
        <v>2418</v>
      </c>
      <c r="D307" s="123">
        <f t="shared" si="4"/>
        <v>98.88</v>
      </c>
    </row>
    <row r="308" spans="1:4">
      <c r="A308" s="127" t="s">
        <v>593</v>
      </c>
      <c r="B308" s="192">
        <v>20578</v>
      </c>
      <c r="C308" s="131">
        <v>19312</v>
      </c>
      <c r="D308" s="123">
        <f t="shared" si="4"/>
        <v>106.56</v>
      </c>
    </row>
    <row r="309" spans="1:4">
      <c r="A309" s="128" t="s">
        <v>594</v>
      </c>
      <c r="B309" s="192">
        <v>3131</v>
      </c>
      <c r="C309" s="131">
        <v>2916</v>
      </c>
      <c r="D309" s="123">
        <f t="shared" si="4"/>
        <v>107.37</v>
      </c>
    </row>
    <row r="310" spans="1:4">
      <c r="A310" s="128" t="s">
        <v>595</v>
      </c>
      <c r="B310" s="192">
        <v>10679</v>
      </c>
      <c r="C310" s="131">
        <v>10072</v>
      </c>
      <c r="D310" s="123">
        <f t="shared" si="4"/>
        <v>106.03</v>
      </c>
    </row>
    <row r="311" spans="1:4">
      <c r="A311" s="128" t="s">
        <v>596</v>
      </c>
      <c r="B311" s="192">
        <v>6768</v>
      </c>
      <c r="C311" s="131">
        <v>6324</v>
      </c>
      <c r="D311" s="123">
        <f t="shared" si="4"/>
        <v>107.02</v>
      </c>
    </row>
    <row r="312" spans="1:4">
      <c r="A312" s="127" t="s">
        <v>597</v>
      </c>
      <c r="B312" s="192">
        <v>45898</v>
      </c>
      <c r="C312" s="131">
        <v>44410</v>
      </c>
      <c r="D312" s="123">
        <f t="shared" si="4"/>
        <v>103.35</v>
      </c>
    </row>
    <row r="313" spans="1:4">
      <c r="A313" s="128" t="s">
        <v>598</v>
      </c>
      <c r="B313" s="192">
        <v>45898</v>
      </c>
      <c r="C313" s="131">
        <v>44410</v>
      </c>
      <c r="D313" s="123">
        <f t="shared" si="4"/>
        <v>103.35</v>
      </c>
    </row>
    <row r="314" spans="1:4">
      <c r="A314" s="186" t="s">
        <v>835</v>
      </c>
      <c r="B314" s="192">
        <v>1700</v>
      </c>
      <c r="C314" s="131">
        <v>1700</v>
      </c>
      <c r="D314" s="123">
        <f t="shared" si="4"/>
        <v>100</v>
      </c>
    </row>
    <row r="315" spans="1:4">
      <c r="A315" s="128" t="s">
        <v>599</v>
      </c>
      <c r="B315" s="192">
        <v>1700</v>
      </c>
      <c r="C315" s="131">
        <v>1700</v>
      </c>
      <c r="D315" s="123">
        <f t="shared" si="4"/>
        <v>100</v>
      </c>
    </row>
    <row r="316" spans="1:4">
      <c r="A316" s="130" t="s">
        <v>836</v>
      </c>
      <c r="B316" s="192">
        <v>136</v>
      </c>
      <c r="C316" s="131">
        <v>144</v>
      </c>
      <c r="D316" s="123">
        <f t="shared" si="4"/>
        <v>94.44</v>
      </c>
    </row>
    <row r="317" spans="1:4">
      <c r="A317" s="183" t="s">
        <v>837</v>
      </c>
      <c r="B317" s="192">
        <v>135</v>
      </c>
      <c r="C317" s="131">
        <v>143</v>
      </c>
      <c r="D317" s="123">
        <f t="shared" si="4"/>
        <v>94.41</v>
      </c>
    </row>
    <row r="318" spans="1:4">
      <c r="A318" s="129" t="s">
        <v>838</v>
      </c>
      <c r="B318" s="192">
        <v>1</v>
      </c>
      <c r="C318" s="131">
        <v>1</v>
      </c>
      <c r="D318" s="123">
        <f t="shared" si="4"/>
        <v>100</v>
      </c>
    </row>
    <row r="319" spans="1:4">
      <c r="A319" s="127" t="s">
        <v>600</v>
      </c>
      <c r="B319" s="192">
        <v>1618</v>
      </c>
      <c r="C319" s="131">
        <f>1777+19</f>
        <v>1796</v>
      </c>
      <c r="D319" s="123">
        <f t="shared" si="4"/>
        <v>90.09</v>
      </c>
    </row>
    <row r="320" spans="1:4">
      <c r="A320" s="128" t="s">
        <v>601</v>
      </c>
      <c r="B320" s="192">
        <v>1618</v>
      </c>
      <c r="C320" s="131">
        <f>1777+19</f>
        <v>1796</v>
      </c>
      <c r="D320" s="123">
        <f t="shared" si="4"/>
        <v>90.09</v>
      </c>
    </row>
    <row r="321" spans="1:4">
      <c r="A321" s="127" t="s">
        <v>602</v>
      </c>
      <c r="B321" s="192">
        <v>1208</v>
      </c>
      <c r="C321" s="131">
        <v>3208</v>
      </c>
      <c r="D321" s="123">
        <f t="shared" si="4"/>
        <v>37.659999999999997</v>
      </c>
    </row>
    <row r="322" spans="1:4">
      <c r="A322" s="128" t="s">
        <v>603</v>
      </c>
      <c r="B322" s="192">
        <v>1208</v>
      </c>
      <c r="C322" s="131">
        <v>3208</v>
      </c>
      <c r="D322" s="123">
        <f t="shared" si="4"/>
        <v>37.659999999999997</v>
      </c>
    </row>
    <row r="323" spans="1:4">
      <c r="A323" s="126" t="s">
        <v>317</v>
      </c>
      <c r="B323" s="192">
        <v>9350</v>
      </c>
      <c r="C323" s="131">
        <v>9150</v>
      </c>
      <c r="D323" s="123">
        <f t="shared" si="4"/>
        <v>102.19</v>
      </c>
    </row>
    <row r="324" spans="1:4">
      <c r="A324" s="127" t="s">
        <v>604</v>
      </c>
      <c r="B324" s="192">
        <v>3756</v>
      </c>
      <c r="C324" s="131">
        <v>3078</v>
      </c>
      <c r="D324" s="123">
        <f t="shared" si="4"/>
        <v>122.03</v>
      </c>
    </row>
    <row r="325" spans="1:4">
      <c r="A325" s="128" t="s">
        <v>386</v>
      </c>
      <c r="B325" s="192">
        <v>1206</v>
      </c>
      <c r="C325" s="131">
        <v>1126</v>
      </c>
      <c r="D325" s="123">
        <f t="shared" si="4"/>
        <v>107.1</v>
      </c>
    </row>
    <row r="326" spans="1:4">
      <c r="A326" s="128" t="s">
        <v>605</v>
      </c>
      <c r="B326" s="192">
        <v>2550</v>
      </c>
      <c r="C326" s="131">
        <v>1952</v>
      </c>
      <c r="D326" s="123">
        <f t="shared" ref="D326:D389" si="5">IF(C326&lt;&gt;0,B326/C326*100,0)</f>
        <v>130.63999999999999</v>
      </c>
    </row>
    <row r="327" spans="1:4">
      <c r="A327" s="127" t="s">
        <v>606</v>
      </c>
      <c r="B327" s="192">
        <v>1454</v>
      </c>
      <c r="C327" s="131">
        <v>950</v>
      </c>
      <c r="D327" s="123">
        <f t="shared" si="5"/>
        <v>153.05000000000001</v>
      </c>
    </row>
    <row r="328" spans="1:4">
      <c r="A328" s="128" t="s">
        <v>607</v>
      </c>
      <c r="B328" s="192">
        <v>606</v>
      </c>
      <c r="C328" s="131">
        <v>535</v>
      </c>
      <c r="D328" s="123">
        <f t="shared" si="5"/>
        <v>113.27</v>
      </c>
    </row>
    <row r="329" spans="1:4">
      <c r="A329" s="128" t="s">
        <v>608</v>
      </c>
      <c r="B329" s="192">
        <v>848</v>
      </c>
      <c r="C329" s="131">
        <v>415</v>
      </c>
      <c r="D329" s="123">
        <f t="shared" si="5"/>
        <v>204.34</v>
      </c>
    </row>
    <row r="330" spans="1:4">
      <c r="A330" s="127" t="s">
        <v>609</v>
      </c>
      <c r="B330" s="192">
        <v>15</v>
      </c>
      <c r="C330" s="131">
        <v>11</v>
      </c>
      <c r="D330" s="123">
        <f t="shared" si="5"/>
        <v>136.36000000000001</v>
      </c>
    </row>
    <row r="331" spans="1:4">
      <c r="A331" s="128" t="s">
        <v>610</v>
      </c>
      <c r="B331" s="192">
        <v>15</v>
      </c>
      <c r="C331" s="131">
        <v>11</v>
      </c>
      <c r="D331" s="123">
        <f t="shared" si="5"/>
        <v>136.36000000000001</v>
      </c>
    </row>
    <row r="332" spans="1:4">
      <c r="A332" s="127" t="s">
        <v>611</v>
      </c>
      <c r="B332" s="192">
        <v>690</v>
      </c>
      <c r="C332" s="131">
        <v>821</v>
      </c>
      <c r="D332" s="123">
        <f t="shared" si="5"/>
        <v>84.04</v>
      </c>
    </row>
    <row r="333" spans="1:4">
      <c r="A333" s="128" t="s">
        <v>612</v>
      </c>
      <c r="B333" s="192">
        <v>690</v>
      </c>
      <c r="C333" s="131">
        <v>821</v>
      </c>
      <c r="D333" s="123">
        <f t="shared" si="5"/>
        <v>84.04</v>
      </c>
    </row>
    <row r="334" spans="1:4">
      <c r="A334" s="127" t="s">
        <v>613</v>
      </c>
      <c r="B334" s="192">
        <v>3435</v>
      </c>
      <c r="C334" s="131">
        <v>4290</v>
      </c>
      <c r="D334" s="123">
        <f t="shared" si="5"/>
        <v>80.069999999999993</v>
      </c>
    </row>
    <row r="335" spans="1:4">
      <c r="A335" s="128" t="s">
        <v>614</v>
      </c>
      <c r="B335" s="192">
        <v>3435</v>
      </c>
      <c r="C335" s="131">
        <v>4290</v>
      </c>
      <c r="D335" s="123">
        <f t="shared" si="5"/>
        <v>80.069999999999993</v>
      </c>
    </row>
    <row r="336" spans="1:4">
      <c r="A336" s="126" t="s">
        <v>318</v>
      </c>
      <c r="B336" s="192">
        <v>104024</v>
      </c>
      <c r="C336" s="131">
        <f>120700+579</f>
        <v>121279</v>
      </c>
      <c r="D336" s="123">
        <f t="shared" si="5"/>
        <v>85.77</v>
      </c>
    </row>
    <row r="337" spans="1:4">
      <c r="A337" s="127" t="s">
        <v>615</v>
      </c>
      <c r="B337" s="192">
        <v>7737</v>
      </c>
      <c r="C337" s="131">
        <v>7990</v>
      </c>
      <c r="D337" s="123">
        <f t="shared" si="5"/>
        <v>96.83</v>
      </c>
    </row>
    <row r="338" spans="1:4">
      <c r="A338" s="128" t="s">
        <v>386</v>
      </c>
      <c r="B338" s="192">
        <v>299</v>
      </c>
      <c r="C338" s="131">
        <v>475</v>
      </c>
      <c r="D338" s="123">
        <f t="shared" si="5"/>
        <v>62.95</v>
      </c>
    </row>
    <row r="339" spans="1:4">
      <c r="A339" s="128" t="s">
        <v>616</v>
      </c>
      <c r="B339" s="192">
        <v>4881</v>
      </c>
      <c r="C339" s="131">
        <v>4451</v>
      </c>
      <c r="D339" s="123">
        <f t="shared" si="5"/>
        <v>109.66</v>
      </c>
    </row>
    <row r="340" spans="1:4">
      <c r="A340" s="128" t="s">
        <v>617</v>
      </c>
      <c r="B340" s="192">
        <v>465</v>
      </c>
      <c r="C340" s="131">
        <v>425</v>
      </c>
      <c r="D340" s="123">
        <f t="shared" si="5"/>
        <v>109.41</v>
      </c>
    </row>
    <row r="341" spans="1:4">
      <c r="A341" s="128" t="s">
        <v>618</v>
      </c>
      <c r="B341" s="192">
        <v>202</v>
      </c>
      <c r="C341" s="131">
        <v>187</v>
      </c>
      <c r="D341" s="123">
        <f t="shared" si="5"/>
        <v>108.02</v>
      </c>
    </row>
    <row r="342" spans="1:4">
      <c r="A342" s="128" t="s">
        <v>619</v>
      </c>
      <c r="B342" s="192">
        <v>1098</v>
      </c>
      <c r="C342" s="131">
        <v>1036</v>
      </c>
      <c r="D342" s="123">
        <f t="shared" si="5"/>
        <v>105.98</v>
      </c>
    </row>
    <row r="343" spans="1:4">
      <c r="A343" s="128" t="s">
        <v>620</v>
      </c>
      <c r="B343" s="192">
        <v>792</v>
      </c>
      <c r="C343" s="131">
        <v>1416</v>
      </c>
      <c r="D343" s="123">
        <f t="shared" si="5"/>
        <v>55.93</v>
      </c>
    </row>
    <row r="344" spans="1:4">
      <c r="A344" s="127" t="s">
        <v>621</v>
      </c>
      <c r="B344" s="192">
        <v>535</v>
      </c>
      <c r="C344" s="131">
        <f>898+405</f>
        <v>1303</v>
      </c>
      <c r="D344" s="123">
        <f t="shared" si="5"/>
        <v>41.06</v>
      </c>
    </row>
    <row r="345" spans="1:4">
      <c r="A345" s="128" t="s">
        <v>622</v>
      </c>
      <c r="B345" s="192">
        <v>535</v>
      </c>
      <c r="C345" s="131">
        <f>898+405</f>
        <v>1303</v>
      </c>
      <c r="D345" s="123">
        <f t="shared" si="5"/>
        <v>41.06</v>
      </c>
    </row>
    <row r="346" spans="1:4">
      <c r="A346" s="127" t="s">
        <v>623</v>
      </c>
      <c r="B346" s="192">
        <v>3370</v>
      </c>
      <c r="C346" s="131">
        <v>1790</v>
      </c>
      <c r="D346" s="123">
        <f t="shared" si="5"/>
        <v>188.27</v>
      </c>
    </row>
    <row r="347" spans="1:4">
      <c r="A347" s="128" t="s">
        <v>624</v>
      </c>
      <c r="B347" s="192">
        <v>3370</v>
      </c>
      <c r="C347" s="131">
        <v>1790</v>
      </c>
      <c r="D347" s="123">
        <f t="shared" si="5"/>
        <v>188.27</v>
      </c>
    </row>
    <row r="348" spans="1:4">
      <c r="A348" s="127" t="s">
        <v>625</v>
      </c>
      <c r="B348" s="192">
        <v>15421</v>
      </c>
      <c r="C348" s="131">
        <f>24843+174</f>
        <v>25017</v>
      </c>
      <c r="D348" s="123">
        <f t="shared" si="5"/>
        <v>61.64</v>
      </c>
    </row>
    <row r="349" spans="1:4">
      <c r="A349" s="128" t="s">
        <v>626</v>
      </c>
      <c r="B349" s="192">
        <v>15421</v>
      </c>
      <c r="C349" s="131">
        <f>24843+174</f>
        <v>25017</v>
      </c>
      <c r="D349" s="123">
        <f t="shared" si="5"/>
        <v>61.64</v>
      </c>
    </row>
    <row r="350" spans="1:4">
      <c r="A350" s="127" t="s">
        <v>627</v>
      </c>
      <c r="B350" s="192">
        <v>295</v>
      </c>
      <c r="C350" s="131">
        <v>270</v>
      </c>
      <c r="D350" s="123">
        <f t="shared" si="5"/>
        <v>109.26</v>
      </c>
    </row>
    <row r="351" spans="1:4">
      <c r="A351" s="128" t="s">
        <v>628</v>
      </c>
      <c r="B351" s="192">
        <v>295</v>
      </c>
      <c r="C351" s="131">
        <v>270</v>
      </c>
      <c r="D351" s="123">
        <f t="shared" si="5"/>
        <v>109.26</v>
      </c>
    </row>
    <row r="352" spans="1:4">
      <c r="A352" s="127" t="s">
        <v>629</v>
      </c>
      <c r="B352" s="192">
        <v>76666</v>
      </c>
      <c r="C352" s="131">
        <v>84909</v>
      </c>
      <c r="D352" s="123">
        <f t="shared" si="5"/>
        <v>90.29</v>
      </c>
    </row>
    <row r="353" spans="1:4">
      <c r="A353" s="128" t="s">
        <v>630</v>
      </c>
      <c r="B353" s="192">
        <v>76666</v>
      </c>
      <c r="C353" s="131">
        <v>84909</v>
      </c>
      <c r="D353" s="123">
        <f t="shared" si="5"/>
        <v>90.29</v>
      </c>
    </row>
    <row r="354" spans="1:4">
      <c r="A354" s="126" t="s">
        <v>319</v>
      </c>
      <c r="B354" s="192">
        <v>112965</v>
      </c>
      <c r="C354" s="131">
        <f>108400+10856</f>
        <v>119256</v>
      </c>
      <c r="D354" s="123">
        <f t="shared" si="5"/>
        <v>94.72</v>
      </c>
    </row>
    <row r="355" spans="1:4">
      <c r="A355" s="130" t="s">
        <v>839</v>
      </c>
      <c r="B355" s="192">
        <v>39427</v>
      </c>
      <c r="C355" s="131">
        <f>39410+8354</f>
        <v>47764</v>
      </c>
      <c r="D355" s="123">
        <f t="shared" si="5"/>
        <v>82.55</v>
      </c>
    </row>
    <row r="356" spans="1:4">
      <c r="A356" s="128" t="s">
        <v>386</v>
      </c>
      <c r="B356" s="192">
        <v>1472</v>
      </c>
      <c r="C356" s="131">
        <v>918</v>
      </c>
      <c r="D356" s="123">
        <f t="shared" si="5"/>
        <v>160.35</v>
      </c>
    </row>
    <row r="357" spans="1:4">
      <c r="A357" s="128" t="s">
        <v>396</v>
      </c>
      <c r="B357" s="192">
        <v>3912</v>
      </c>
      <c r="C357" s="131">
        <v>3687</v>
      </c>
      <c r="D357" s="123">
        <f t="shared" si="5"/>
        <v>106.1</v>
      </c>
    </row>
    <row r="358" spans="1:4">
      <c r="A358" s="183" t="s">
        <v>840</v>
      </c>
      <c r="B358" s="192">
        <v>6100</v>
      </c>
      <c r="C358" s="131">
        <v>2650</v>
      </c>
      <c r="D358" s="123">
        <f t="shared" si="5"/>
        <v>230.19</v>
      </c>
    </row>
    <row r="359" spans="1:4">
      <c r="A359" s="129" t="s">
        <v>841</v>
      </c>
      <c r="B359" s="192">
        <v>22400</v>
      </c>
      <c r="C359" s="131">
        <v>12050</v>
      </c>
      <c r="D359" s="123">
        <f t="shared" si="5"/>
        <v>185.89</v>
      </c>
    </row>
    <row r="360" spans="1:4">
      <c r="A360" s="128" t="s">
        <v>631</v>
      </c>
      <c r="B360" s="192">
        <v>2397</v>
      </c>
      <c r="C360" s="131">
        <v>500</v>
      </c>
      <c r="D360" s="123">
        <f t="shared" si="5"/>
        <v>479.4</v>
      </c>
    </row>
    <row r="361" spans="1:4">
      <c r="A361" s="129" t="s">
        <v>842</v>
      </c>
      <c r="B361" s="192">
        <v>3146</v>
      </c>
      <c r="C361" s="131">
        <f>19605+8354</f>
        <v>27959</v>
      </c>
      <c r="D361" s="123">
        <f t="shared" si="5"/>
        <v>11.25</v>
      </c>
    </row>
    <row r="362" spans="1:4">
      <c r="A362" s="127" t="s">
        <v>632</v>
      </c>
      <c r="B362" s="192">
        <v>10721</v>
      </c>
      <c r="C362" s="131">
        <v>5350</v>
      </c>
      <c r="D362" s="123">
        <f t="shared" si="5"/>
        <v>200.39</v>
      </c>
    </row>
    <row r="363" spans="1:4">
      <c r="A363" s="128" t="s">
        <v>386</v>
      </c>
      <c r="B363" s="192">
        <v>2212</v>
      </c>
      <c r="C363" s="131">
        <v>2074</v>
      </c>
      <c r="D363" s="123">
        <f t="shared" si="5"/>
        <v>106.65</v>
      </c>
    </row>
    <row r="364" spans="1:4">
      <c r="A364" s="128" t="s">
        <v>633</v>
      </c>
      <c r="B364" s="192">
        <v>356</v>
      </c>
      <c r="C364" s="131">
        <v>287</v>
      </c>
      <c r="D364" s="123">
        <f t="shared" si="5"/>
        <v>124.04</v>
      </c>
    </row>
    <row r="365" spans="1:4">
      <c r="A365" s="183" t="s">
        <v>843</v>
      </c>
      <c r="B365" s="192">
        <v>64</v>
      </c>
      <c r="C365" s="131">
        <v>63</v>
      </c>
      <c r="D365" s="123">
        <f t="shared" si="5"/>
        <v>101.59</v>
      </c>
    </row>
    <row r="366" spans="1:4">
      <c r="A366" s="128" t="s">
        <v>634</v>
      </c>
      <c r="B366" s="192">
        <v>170</v>
      </c>
      <c r="C366" s="131">
        <v>24</v>
      </c>
      <c r="D366" s="123">
        <f t="shared" si="5"/>
        <v>708.33</v>
      </c>
    </row>
    <row r="367" spans="1:4">
      <c r="A367" s="129" t="s">
        <v>844</v>
      </c>
      <c r="B367" s="192">
        <v>400</v>
      </c>
      <c r="C367" s="131">
        <v>0</v>
      </c>
      <c r="D367" s="123">
        <f t="shared" si="5"/>
        <v>0</v>
      </c>
    </row>
    <row r="368" spans="1:4">
      <c r="A368" s="128" t="s">
        <v>635</v>
      </c>
      <c r="B368" s="192">
        <v>7519</v>
      </c>
      <c r="C368" s="131">
        <v>2965</v>
      </c>
      <c r="D368" s="123">
        <f t="shared" si="5"/>
        <v>253.59</v>
      </c>
    </row>
    <row r="369" spans="1:4">
      <c r="A369" s="127" t="s">
        <v>636</v>
      </c>
      <c r="B369" s="192">
        <v>21789</v>
      </c>
      <c r="C369" s="131">
        <f>23472+75</f>
        <v>23547</v>
      </c>
      <c r="D369" s="123">
        <f t="shared" si="5"/>
        <v>92.53</v>
      </c>
    </row>
    <row r="370" spans="1:4">
      <c r="A370" s="128" t="s">
        <v>386</v>
      </c>
      <c r="B370" s="192">
        <v>672</v>
      </c>
      <c r="C370" s="131">
        <v>592</v>
      </c>
      <c r="D370" s="123">
        <f t="shared" si="5"/>
        <v>113.51</v>
      </c>
    </row>
    <row r="371" spans="1:4">
      <c r="A371" s="183" t="s">
        <v>637</v>
      </c>
      <c r="B371" s="192">
        <v>15000</v>
      </c>
      <c r="C371" s="131">
        <f>18000+75</f>
        <v>18075</v>
      </c>
      <c r="D371" s="123">
        <f t="shared" si="5"/>
        <v>82.99</v>
      </c>
    </row>
    <row r="372" spans="1:4">
      <c r="A372" s="128" t="s">
        <v>638</v>
      </c>
      <c r="B372" s="192">
        <v>2442</v>
      </c>
      <c r="C372" s="131">
        <v>2273</v>
      </c>
      <c r="D372" s="123">
        <f t="shared" si="5"/>
        <v>107.44</v>
      </c>
    </row>
    <row r="373" spans="1:4">
      <c r="A373" s="128" t="s">
        <v>639</v>
      </c>
      <c r="B373" s="192">
        <v>133</v>
      </c>
      <c r="C373" s="131">
        <v>122</v>
      </c>
      <c r="D373" s="123">
        <f t="shared" si="5"/>
        <v>109.02</v>
      </c>
    </row>
    <row r="374" spans="1:4">
      <c r="A374" s="128" t="s">
        <v>640</v>
      </c>
      <c r="B374" s="192">
        <v>371</v>
      </c>
      <c r="C374" s="131">
        <v>260</v>
      </c>
      <c r="D374" s="123">
        <f t="shared" si="5"/>
        <v>142.69</v>
      </c>
    </row>
    <row r="375" spans="1:4">
      <c r="A375" s="128" t="s">
        <v>641</v>
      </c>
      <c r="B375" s="192">
        <v>1000</v>
      </c>
      <c r="C375" s="131">
        <v>900</v>
      </c>
      <c r="D375" s="123">
        <f t="shared" si="5"/>
        <v>111.11</v>
      </c>
    </row>
    <row r="376" spans="1:4">
      <c r="A376" s="128" t="s">
        <v>642</v>
      </c>
      <c r="B376" s="192">
        <v>229</v>
      </c>
      <c r="C376" s="131">
        <v>189</v>
      </c>
      <c r="D376" s="123">
        <f t="shared" si="5"/>
        <v>121.16</v>
      </c>
    </row>
    <row r="377" spans="1:4">
      <c r="A377" s="128" t="s">
        <v>643</v>
      </c>
      <c r="B377" s="192">
        <v>92</v>
      </c>
      <c r="C377" s="131">
        <v>84</v>
      </c>
      <c r="D377" s="123">
        <f t="shared" si="5"/>
        <v>109.52</v>
      </c>
    </row>
    <row r="378" spans="1:4">
      <c r="A378" s="128" t="s">
        <v>644</v>
      </c>
      <c r="B378" s="192">
        <v>1850</v>
      </c>
      <c r="C378" s="131">
        <v>1052</v>
      </c>
      <c r="D378" s="123">
        <f t="shared" si="5"/>
        <v>175.86</v>
      </c>
    </row>
    <row r="379" spans="1:4">
      <c r="A379" s="127" t="s">
        <v>645</v>
      </c>
      <c r="B379" s="192">
        <v>6745</v>
      </c>
      <c r="C379" s="131">
        <f>4000+45</f>
        <v>4045</v>
      </c>
      <c r="D379" s="123">
        <f t="shared" si="5"/>
        <v>166.75</v>
      </c>
    </row>
    <row r="380" spans="1:4">
      <c r="A380" s="128" t="s">
        <v>646</v>
      </c>
      <c r="B380" s="192">
        <v>6745</v>
      </c>
      <c r="C380" s="131">
        <f>4000+45</f>
        <v>4045</v>
      </c>
      <c r="D380" s="123">
        <f t="shared" si="5"/>
        <v>166.75</v>
      </c>
    </row>
    <row r="381" spans="1:4">
      <c r="A381" s="127" t="s">
        <v>647</v>
      </c>
      <c r="B381" s="192">
        <v>17556</v>
      </c>
      <c r="C381" s="131">
        <f>17000+2319</f>
        <v>19319</v>
      </c>
      <c r="D381" s="123">
        <f t="shared" si="5"/>
        <v>90.87</v>
      </c>
    </row>
    <row r="382" spans="1:4">
      <c r="A382" s="128" t="s">
        <v>648</v>
      </c>
      <c r="B382" s="192">
        <v>485</v>
      </c>
      <c r="C382" s="131">
        <v>1055</v>
      </c>
      <c r="D382" s="123">
        <f t="shared" si="5"/>
        <v>45.97</v>
      </c>
    </row>
    <row r="383" spans="1:4">
      <c r="A383" s="128" t="s">
        <v>649</v>
      </c>
      <c r="B383" s="192">
        <v>17050</v>
      </c>
      <c r="C383" s="131">
        <f>17000+865</f>
        <v>17865</v>
      </c>
      <c r="D383" s="123">
        <f t="shared" si="5"/>
        <v>95.44</v>
      </c>
    </row>
    <row r="384" spans="1:4">
      <c r="A384" s="128" t="s">
        <v>650</v>
      </c>
      <c r="B384" s="192">
        <v>21</v>
      </c>
      <c r="C384" s="131">
        <v>399</v>
      </c>
      <c r="D384" s="123">
        <f t="shared" si="5"/>
        <v>5.26</v>
      </c>
    </row>
    <row r="385" spans="1:4">
      <c r="A385" s="127" t="s">
        <v>651</v>
      </c>
      <c r="B385" s="192">
        <v>16727</v>
      </c>
      <c r="C385" s="131">
        <v>19168</v>
      </c>
      <c r="D385" s="123">
        <f t="shared" si="5"/>
        <v>87.27</v>
      </c>
    </row>
    <row r="386" spans="1:4">
      <c r="A386" s="128" t="s">
        <v>652</v>
      </c>
      <c r="B386" s="192">
        <v>16727</v>
      </c>
      <c r="C386" s="131">
        <v>19168</v>
      </c>
      <c r="D386" s="123">
        <f t="shared" si="5"/>
        <v>87.27</v>
      </c>
    </row>
    <row r="387" spans="1:4">
      <c r="A387" s="126" t="s">
        <v>320</v>
      </c>
      <c r="B387" s="192">
        <v>16600</v>
      </c>
      <c r="C387" s="131">
        <f>18200+916</f>
        <v>19116</v>
      </c>
      <c r="D387" s="123">
        <f t="shared" si="5"/>
        <v>86.84</v>
      </c>
    </row>
    <row r="388" spans="1:4">
      <c r="A388" s="127" t="s">
        <v>653</v>
      </c>
      <c r="B388" s="192">
        <v>5149</v>
      </c>
      <c r="C388" s="131">
        <v>6130</v>
      </c>
      <c r="D388" s="123">
        <f t="shared" si="5"/>
        <v>84</v>
      </c>
    </row>
    <row r="389" spans="1:4">
      <c r="A389" s="128" t="s">
        <v>386</v>
      </c>
      <c r="B389" s="192">
        <v>1502</v>
      </c>
      <c r="C389" s="131">
        <v>1400</v>
      </c>
      <c r="D389" s="123">
        <f t="shared" si="5"/>
        <v>107.29</v>
      </c>
    </row>
    <row r="390" spans="1:4">
      <c r="A390" s="128" t="s">
        <v>654</v>
      </c>
      <c r="B390" s="192">
        <v>0</v>
      </c>
      <c r="C390" s="131">
        <v>1400</v>
      </c>
      <c r="D390" s="123">
        <f t="shared" ref="D390:D425" si="6">IF(C390&lt;&gt;0,B390/C390*100,0)</f>
        <v>0</v>
      </c>
    </row>
    <row r="391" spans="1:4">
      <c r="A391" s="128" t="s">
        <v>655</v>
      </c>
      <c r="B391" s="192">
        <v>1296</v>
      </c>
      <c r="C391" s="131">
        <v>1217</v>
      </c>
      <c r="D391" s="123">
        <f t="shared" si="6"/>
        <v>106.49</v>
      </c>
    </row>
    <row r="392" spans="1:4">
      <c r="A392" s="128" t="s">
        <v>656</v>
      </c>
      <c r="B392" s="192">
        <v>2351</v>
      </c>
      <c r="C392" s="131">
        <v>2113</v>
      </c>
      <c r="D392" s="123">
        <f t="shared" si="6"/>
        <v>111.26</v>
      </c>
    </row>
    <row r="393" spans="1:4">
      <c r="A393" s="127" t="s">
        <v>657</v>
      </c>
      <c r="B393" s="192">
        <v>4000</v>
      </c>
      <c r="C393" s="131">
        <v>5000</v>
      </c>
      <c r="D393" s="123">
        <f t="shared" si="6"/>
        <v>80</v>
      </c>
    </row>
    <row r="394" spans="1:4">
      <c r="A394" s="128" t="s">
        <v>658</v>
      </c>
      <c r="B394" s="192">
        <v>4000</v>
      </c>
      <c r="C394" s="131">
        <v>5000</v>
      </c>
      <c r="D394" s="123">
        <f t="shared" si="6"/>
        <v>80</v>
      </c>
    </row>
    <row r="395" spans="1:4">
      <c r="A395" s="127" t="s">
        <v>659</v>
      </c>
      <c r="B395" s="192">
        <v>284</v>
      </c>
      <c r="C395" s="131">
        <v>318</v>
      </c>
      <c r="D395" s="123">
        <f t="shared" si="6"/>
        <v>89.31</v>
      </c>
    </row>
    <row r="396" spans="1:4">
      <c r="A396" s="128" t="s">
        <v>386</v>
      </c>
      <c r="B396" s="192">
        <v>19</v>
      </c>
      <c r="C396" s="131">
        <v>117</v>
      </c>
      <c r="D396" s="123">
        <f t="shared" si="6"/>
        <v>16.239999999999998</v>
      </c>
    </row>
    <row r="397" spans="1:4">
      <c r="A397" s="128" t="s">
        <v>392</v>
      </c>
      <c r="B397" s="192">
        <v>45</v>
      </c>
      <c r="C397" s="131">
        <v>51</v>
      </c>
      <c r="D397" s="123">
        <f t="shared" si="6"/>
        <v>88.24</v>
      </c>
    </row>
    <row r="398" spans="1:4">
      <c r="A398" s="128" t="s">
        <v>661</v>
      </c>
      <c r="B398" s="192">
        <v>220</v>
      </c>
      <c r="C398" s="131">
        <v>150</v>
      </c>
      <c r="D398" s="123">
        <f t="shared" si="6"/>
        <v>146.66999999999999</v>
      </c>
    </row>
    <row r="399" spans="1:4">
      <c r="A399" s="127" t="s">
        <v>662</v>
      </c>
      <c r="B399" s="192">
        <v>7167</v>
      </c>
      <c r="C399" s="131">
        <f>6752+916</f>
        <v>7668</v>
      </c>
      <c r="D399" s="123">
        <f t="shared" si="6"/>
        <v>93.47</v>
      </c>
    </row>
    <row r="400" spans="1:4">
      <c r="A400" s="128" t="s">
        <v>663</v>
      </c>
      <c r="B400" s="192">
        <v>6900</v>
      </c>
      <c r="C400" s="131">
        <v>6517</v>
      </c>
      <c r="D400" s="123">
        <f t="shared" si="6"/>
        <v>105.88</v>
      </c>
    </row>
    <row r="401" spans="1:4">
      <c r="A401" s="128" t="s">
        <v>664</v>
      </c>
      <c r="B401" s="192">
        <v>267</v>
      </c>
      <c r="C401" s="131">
        <f>235+916</f>
        <v>1151</v>
      </c>
      <c r="D401" s="123">
        <f t="shared" si="6"/>
        <v>23.2</v>
      </c>
    </row>
    <row r="402" spans="1:4">
      <c r="A402" s="189" t="s">
        <v>845</v>
      </c>
      <c r="B402" s="192">
        <v>92400</v>
      </c>
      <c r="C402" s="131">
        <f>88300+5876</f>
        <v>94176</v>
      </c>
      <c r="D402" s="123">
        <f t="shared" si="6"/>
        <v>98.11</v>
      </c>
    </row>
    <row r="403" spans="1:4">
      <c r="A403" s="127" t="s">
        <v>665</v>
      </c>
      <c r="B403" s="192">
        <v>305</v>
      </c>
      <c r="C403" s="131">
        <v>296</v>
      </c>
      <c r="D403" s="123">
        <f t="shared" si="6"/>
        <v>103.04</v>
      </c>
    </row>
    <row r="404" spans="1:4">
      <c r="A404" s="128" t="s">
        <v>666</v>
      </c>
      <c r="B404" s="192">
        <v>305</v>
      </c>
      <c r="C404" s="131">
        <v>296</v>
      </c>
      <c r="D404" s="123">
        <f t="shared" si="6"/>
        <v>103.04</v>
      </c>
    </row>
    <row r="405" spans="1:4">
      <c r="A405" s="127" t="s">
        <v>667</v>
      </c>
      <c r="B405" s="192">
        <v>1283</v>
      </c>
      <c r="C405" s="131">
        <v>1174</v>
      </c>
      <c r="D405" s="123">
        <f t="shared" si="6"/>
        <v>109.28</v>
      </c>
    </row>
    <row r="406" spans="1:4">
      <c r="A406" s="128" t="s">
        <v>386</v>
      </c>
      <c r="B406" s="192">
        <v>684</v>
      </c>
      <c r="C406" s="131">
        <v>665</v>
      </c>
      <c r="D406" s="123">
        <f t="shared" si="6"/>
        <v>102.86</v>
      </c>
    </row>
    <row r="407" spans="1:4">
      <c r="A407" s="128" t="s">
        <v>392</v>
      </c>
      <c r="B407" s="192">
        <v>446</v>
      </c>
      <c r="C407" s="131">
        <v>255</v>
      </c>
      <c r="D407" s="123">
        <f t="shared" si="6"/>
        <v>174.9</v>
      </c>
    </row>
    <row r="408" spans="1:4">
      <c r="A408" s="183" t="s">
        <v>846</v>
      </c>
      <c r="B408" s="192">
        <v>0</v>
      </c>
      <c r="C408" s="131"/>
      <c r="D408" s="123">
        <f t="shared" si="6"/>
        <v>0</v>
      </c>
    </row>
    <row r="409" spans="1:4">
      <c r="A409" s="128" t="s">
        <v>660</v>
      </c>
      <c r="B409" s="192">
        <v>153</v>
      </c>
      <c r="C409" s="131">
        <v>140</v>
      </c>
      <c r="D409" s="123">
        <f t="shared" si="6"/>
        <v>109.29</v>
      </c>
    </row>
    <row r="410" spans="1:4">
      <c r="A410" s="127" t="s">
        <v>668</v>
      </c>
      <c r="B410" s="192">
        <v>89155</v>
      </c>
      <c r="C410" s="131">
        <f>86770+2750</f>
        <v>89520</v>
      </c>
      <c r="D410" s="123">
        <f t="shared" si="6"/>
        <v>99.59</v>
      </c>
    </row>
    <row r="411" spans="1:4">
      <c r="A411" s="128" t="s">
        <v>669</v>
      </c>
      <c r="B411" s="192">
        <v>89155</v>
      </c>
      <c r="C411" s="131">
        <f>86770+2750</f>
        <v>89520</v>
      </c>
      <c r="D411" s="123">
        <f t="shared" si="6"/>
        <v>99.59</v>
      </c>
    </row>
    <row r="412" spans="1:4">
      <c r="A412" s="130" t="s">
        <v>847</v>
      </c>
      <c r="B412" s="192">
        <v>1657</v>
      </c>
      <c r="C412" s="131">
        <f>60+3126</f>
        <v>3186</v>
      </c>
      <c r="D412" s="123">
        <f t="shared" si="6"/>
        <v>52.01</v>
      </c>
    </row>
    <row r="413" spans="1:4">
      <c r="A413" s="129" t="s">
        <v>848</v>
      </c>
      <c r="B413" s="192">
        <v>1657</v>
      </c>
      <c r="C413" s="131">
        <f>60+3126</f>
        <v>3186</v>
      </c>
      <c r="D413" s="123">
        <f t="shared" si="6"/>
        <v>52.01</v>
      </c>
    </row>
    <row r="414" spans="1:4">
      <c r="A414" s="126" t="s">
        <v>322</v>
      </c>
      <c r="B414" s="192">
        <v>14100</v>
      </c>
      <c r="C414" s="131">
        <v>11900</v>
      </c>
      <c r="D414" s="123">
        <f t="shared" si="6"/>
        <v>118.49</v>
      </c>
    </row>
    <row r="415" spans="1:4">
      <c r="A415" s="127" t="s">
        <v>670</v>
      </c>
      <c r="B415" s="192">
        <v>400</v>
      </c>
      <c r="C415" s="131">
        <v>364</v>
      </c>
      <c r="D415" s="123">
        <f t="shared" si="6"/>
        <v>109.89</v>
      </c>
    </row>
    <row r="416" spans="1:4">
      <c r="A416" s="128" t="s">
        <v>386</v>
      </c>
      <c r="B416" s="192">
        <v>362</v>
      </c>
      <c r="C416" s="131">
        <v>326</v>
      </c>
      <c r="D416" s="123">
        <f t="shared" si="6"/>
        <v>111.04</v>
      </c>
    </row>
    <row r="417" spans="1:4">
      <c r="A417" s="128" t="s">
        <v>671</v>
      </c>
      <c r="B417" s="192">
        <v>38</v>
      </c>
      <c r="C417" s="131">
        <v>38</v>
      </c>
      <c r="D417" s="123">
        <f t="shared" si="6"/>
        <v>100</v>
      </c>
    </row>
    <row r="418" spans="1:4">
      <c r="A418" s="127" t="s">
        <v>672</v>
      </c>
      <c r="B418" s="192">
        <v>3460</v>
      </c>
      <c r="C418" s="131">
        <v>6360</v>
      </c>
      <c r="D418" s="123">
        <f t="shared" si="6"/>
        <v>54.4</v>
      </c>
    </row>
    <row r="419" spans="1:4">
      <c r="A419" s="128" t="s">
        <v>673</v>
      </c>
      <c r="B419" s="192">
        <v>3460</v>
      </c>
      <c r="C419" s="131">
        <v>6360</v>
      </c>
      <c r="D419" s="123">
        <f t="shared" si="6"/>
        <v>54.4</v>
      </c>
    </row>
    <row r="420" spans="1:4">
      <c r="A420" s="127" t="s">
        <v>674</v>
      </c>
      <c r="B420" s="192">
        <v>10240</v>
      </c>
      <c r="C420" s="131">
        <v>5176</v>
      </c>
      <c r="D420" s="123">
        <f t="shared" si="6"/>
        <v>197.84</v>
      </c>
    </row>
    <row r="421" spans="1:4">
      <c r="A421" s="128" t="s">
        <v>675</v>
      </c>
      <c r="B421" s="192">
        <v>10240</v>
      </c>
      <c r="C421" s="131">
        <v>5176</v>
      </c>
      <c r="D421" s="123">
        <f t="shared" si="6"/>
        <v>197.84</v>
      </c>
    </row>
    <row r="422" spans="1:4">
      <c r="A422" s="126" t="s">
        <v>323</v>
      </c>
      <c r="B422" s="192">
        <v>2800</v>
      </c>
      <c r="C422" s="131">
        <v>2350</v>
      </c>
      <c r="D422" s="123">
        <f t="shared" si="6"/>
        <v>119.15</v>
      </c>
    </row>
    <row r="423" spans="1:4">
      <c r="A423" s="127" t="s">
        <v>676</v>
      </c>
      <c r="B423" s="192">
        <v>431</v>
      </c>
      <c r="C423" s="131">
        <v>138</v>
      </c>
      <c r="D423" s="123">
        <f t="shared" si="6"/>
        <v>312.32</v>
      </c>
    </row>
    <row r="424" spans="1:4">
      <c r="A424" s="128" t="s">
        <v>386</v>
      </c>
      <c r="B424" s="192">
        <v>194</v>
      </c>
      <c r="C424" s="131">
        <v>138</v>
      </c>
      <c r="D424" s="123">
        <f t="shared" si="6"/>
        <v>140.58000000000001</v>
      </c>
    </row>
    <row r="425" spans="1:4">
      <c r="A425" s="183" t="s">
        <v>396</v>
      </c>
      <c r="B425" s="192">
        <v>237</v>
      </c>
      <c r="C425" s="131">
        <v>0</v>
      </c>
      <c r="D425" s="123">
        <f t="shared" si="6"/>
        <v>0</v>
      </c>
    </row>
    <row r="426" spans="1:4">
      <c r="A426" s="127" t="s">
        <v>677</v>
      </c>
      <c r="B426" s="193">
        <v>313</v>
      </c>
      <c r="C426" s="131">
        <v>260</v>
      </c>
      <c r="D426" s="125"/>
    </row>
    <row r="427" spans="1:4">
      <c r="A427" s="128" t="s">
        <v>678</v>
      </c>
      <c r="B427" s="193">
        <v>313</v>
      </c>
      <c r="C427" s="131">
        <v>260</v>
      </c>
      <c r="D427" s="125"/>
    </row>
    <row r="428" spans="1:4">
      <c r="A428" s="127" t="s">
        <v>679</v>
      </c>
      <c r="B428" s="193">
        <v>2056</v>
      </c>
      <c r="C428" s="131">
        <v>1952</v>
      </c>
      <c r="D428" s="125"/>
    </row>
    <row r="429" spans="1:4">
      <c r="A429" s="128" t="s">
        <v>680</v>
      </c>
      <c r="B429" s="193">
        <v>2056</v>
      </c>
      <c r="C429" s="131">
        <v>1952</v>
      </c>
      <c r="D429" s="125"/>
    </row>
    <row r="430" spans="1:4">
      <c r="A430" s="126" t="s">
        <v>681</v>
      </c>
      <c r="B430" s="193">
        <v>5400</v>
      </c>
      <c r="C430" s="131">
        <v>4700</v>
      </c>
      <c r="D430" s="125"/>
    </row>
    <row r="431" spans="1:4">
      <c r="A431" s="127" t="s">
        <v>682</v>
      </c>
      <c r="B431" s="193">
        <v>4318</v>
      </c>
      <c r="C431" s="131">
        <v>3998</v>
      </c>
      <c r="D431" s="125"/>
    </row>
    <row r="432" spans="1:4">
      <c r="A432" s="128" t="s">
        <v>386</v>
      </c>
      <c r="B432" s="193">
        <v>2599</v>
      </c>
      <c r="C432" s="131">
        <v>2432</v>
      </c>
      <c r="D432" s="125"/>
    </row>
    <row r="433" spans="1:4">
      <c r="A433" s="128" t="s">
        <v>396</v>
      </c>
      <c r="B433" s="193">
        <v>525</v>
      </c>
      <c r="C433" s="131">
        <v>772</v>
      </c>
      <c r="D433" s="125"/>
    </row>
    <row r="434" spans="1:4">
      <c r="A434" s="128" t="s">
        <v>683</v>
      </c>
      <c r="B434" s="193">
        <v>1194</v>
      </c>
      <c r="C434" s="131">
        <v>794</v>
      </c>
      <c r="D434" s="125"/>
    </row>
    <row r="435" spans="1:4">
      <c r="A435" s="127" t="s">
        <v>684</v>
      </c>
      <c r="B435" s="193">
        <v>1082</v>
      </c>
      <c r="C435" s="131">
        <v>392</v>
      </c>
      <c r="D435" s="125"/>
    </row>
    <row r="436" spans="1:4">
      <c r="A436" s="128" t="s">
        <v>685</v>
      </c>
      <c r="B436" s="193">
        <v>182</v>
      </c>
      <c r="C436" s="131">
        <v>242</v>
      </c>
      <c r="D436" s="125"/>
    </row>
    <row r="437" spans="1:4">
      <c r="A437" s="128" t="s">
        <v>686</v>
      </c>
      <c r="B437" s="193">
        <v>750</v>
      </c>
      <c r="C437" s="131">
        <v>0</v>
      </c>
      <c r="D437" s="125"/>
    </row>
    <row r="438" spans="1:4">
      <c r="A438" s="128" t="s">
        <v>687</v>
      </c>
      <c r="B438" s="193">
        <v>150</v>
      </c>
      <c r="C438" s="131">
        <v>150</v>
      </c>
      <c r="D438" s="125"/>
    </row>
    <row r="439" spans="1:4">
      <c r="A439" s="127" t="s">
        <v>688</v>
      </c>
      <c r="B439" s="193">
        <v>0</v>
      </c>
      <c r="C439" s="131">
        <v>310</v>
      </c>
      <c r="D439" s="125"/>
    </row>
    <row r="440" spans="1:4">
      <c r="A440" s="128" t="s">
        <v>689</v>
      </c>
      <c r="B440" s="193">
        <v>0</v>
      </c>
      <c r="C440" s="131">
        <v>310</v>
      </c>
      <c r="D440" s="125"/>
    </row>
    <row r="441" spans="1:4">
      <c r="A441" s="126" t="s">
        <v>324</v>
      </c>
      <c r="B441" s="193">
        <v>38742</v>
      </c>
      <c r="C441" s="131">
        <v>47650</v>
      </c>
      <c r="D441" s="125"/>
    </row>
    <row r="442" spans="1:4">
      <c r="A442" s="130" t="s">
        <v>849</v>
      </c>
      <c r="B442" s="193">
        <v>42</v>
      </c>
      <c r="C442" s="131">
        <v>0</v>
      </c>
      <c r="D442" s="125"/>
    </row>
    <row r="443" spans="1:4">
      <c r="A443" s="129" t="s">
        <v>850</v>
      </c>
      <c r="B443" s="193">
        <v>42</v>
      </c>
      <c r="C443" s="131">
        <v>0</v>
      </c>
      <c r="D443" s="125"/>
    </row>
    <row r="444" spans="1:4">
      <c r="A444" s="127" t="s">
        <v>690</v>
      </c>
      <c r="B444" s="193">
        <v>38700</v>
      </c>
      <c r="C444" s="131">
        <v>37450</v>
      </c>
      <c r="D444" s="125"/>
    </row>
    <row r="445" spans="1:4">
      <c r="A445" s="128" t="s">
        <v>691</v>
      </c>
      <c r="B445" s="193">
        <v>38700</v>
      </c>
      <c r="C445" s="131">
        <v>37450</v>
      </c>
      <c r="D445" s="125"/>
    </row>
    <row r="446" spans="1:4">
      <c r="A446" s="127" t="s">
        <v>692</v>
      </c>
      <c r="B446" s="193">
        <v>0</v>
      </c>
      <c r="C446" s="131">
        <v>10200</v>
      </c>
      <c r="D446" s="125"/>
    </row>
    <row r="447" spans="1:4">
      <c r="A447" s="128" t="s">
        <v>693</v>
      </c>
      <c r="B447" s="193">
        <v>0</v>
      </c>
      <c r="C447" s="131">
        <v>10200</v>
      </c>
      <c r="D447" s="125"/>
    </row>
    <row r="448" spans="1:4">
      <c r="A448" s="126" t="s">
        <v>325</v>
      </c>
      <c r="B448" s="193">
        <v>3800</v>
      </c>
      <c r="C448" s="131">
        <v>4700</v>
      </c>
      <c r="D448" s="125"/>
    </row>
    <row r="449" spans="1:4">
      <c r="A449" s="127" t="s">
        <v>694</v>
      </c>
      <c r="B449" s="193">
        <v>3800</v>
      </c>
      <c r="C449" s="131">
        <v>4700</v>
      </c>
      <c r="D449" s="125"/>
    </row>
    <row r="450" spans="1:4">
      <c r="A450" s="128" t="s">
        <v>695</v>
      </c>
      <c r="B450" s="193">
        <v>3800</v>
      </c>
      <c r="C450" s="131">
        <v>4700</v>
      </c>
      <c r="D450" s="125"/>
    </row>
    <row r="451" spans="1:4">
      <c r="A451" s="126" t="s">
        <v>696</v>
      </c>
      <c r="B451" s="193">
        <v>11400</v>
      </c>
      <c r="C451" s="131">
        <v>11200</v>
      </c>
      <c r="D451" s="125"/>
    </row>
    <row r="452" spans="1:4">
      <c r="A452" s="127" t="s">
        <v>697</v>
      </c>
      <c r="B452" s="193">
        <v>3625</v>
      </c>
      <c r="C452" s="131">
        <v>3453</v>
      </c>
      <c r="D452" s="125"/>
    </row>
    <row r="453" spans="1:4">
      <c r="A453" s="128" t="s">
        <v>386</v>
      </c>
      <c r="B453" s="193">
        <v>389</v>
      </c>
      <c r="C453" s="131">
        <v>184</v>
      </c>
      <c r="D453" s="125"/>
    </row>
    <row r="454" spans="1:4">
      <c r="A454" s="128" t="s">
        <v>698</v>
      </c>
      <c r="B454" s="193">
        <v>121</v>
      </c>
      <c r="C454" s="131">
        <v>111</v>
      </c>
      <c r="D454" s="125"/>
    </row>
    <row r="455" spans="1:4">
      <c r="A455" s="128" t="s">
        <v>396</v>
      </c>
      <c r="B455" s="193">
        <v>970</v>
      </c>
      <c r="C455" s="131">
        <v>1100</v>
      </c>
      <c r="D455" s="125"/>
    </row>
    <row r="456" spans="1:4">
      <c r="A456" s="128" t="s">
        <v>699</v>
      </c>
      <c r="B456" s="193">
        <v>2145</v>
      </c>
      <c r="C456" s="131">
        <v>2058</v>
      </c>
      <c r="D456" s="125"/>
    </row>
    <row r="457" spans="1:4">
      <c r="A457" s="127" t="s">
        <v>700</v>
      </c>
      <c r="B457" s="193">
        <v>7184</v>
      </c>
      <c r="C457" s="131">
        <v>7071</v>
      </c>
      <c r="D457" s="125"/>
    </row>
    <row r="458" spans="1:4">
      <c r="A458" s="128" t="s">
        <v>386</v>
      </c>
      <c r="B458" s="193">
        <v>2723</v>
      </c>
      <c r="C458" s="131">
        <v>2907</v>
      </c>
      <c r="D458" s="125"/>
    </row>
    <row r="459" spans="1:4">
      <c r="A459" s="128" t="s">
        <v>387</v>
      </c>
      <c r="B459" s="193">
        <v>95</v>
      </c>
      <c r="C459" s="131">
        <v>95</v>
      </c>
      <c r="D459" s="125"/>
    </row>
    <row r="460" spans="1:4">
      <c r="A460" s="128" t="s">
        <v>701</v>
      </c>
      <c r="B460" s="193">
        <v>3630</v>
      </c>
      <c r="C460" s="131">
        <v>3500</v>
      </c>
      <c r="D460" s="125"/>
    </row>
    <row r="461" spans="1:4">
      <c r="A461" s="128" t="s">
        <v>702</v>
      </c>
      <c r="B461" s="193">
        <v>736</v>
      </c>
      <c r="C461" s="131">
        <v>569</v>
      </c>
      <c r="D461" s="125"/>
    </row>
    <row r="462" spans="1:4">
      <c r="A462" s="127" t="s">
        <v>703</v>
      </c>
      <c r="B462" s="193">
        <v>403</v>
      </c>
      <c r="C462" s="131">
        <v>451</v>
      </c>
      <c r="D462" s="125"/>
    </row>
    <row r="463" spans="1:4">
      <c r="A463" s="128" t="s">
        <v>386</v>
      </c>
      <c r="B463" s="193">
        <v>88</v>
      </c>
      <c r="C463" s="131">
        <v>81</v>
      </c>
      <c r="D463" s="125"/>
    </row>
    <row r="464" spans="1:4">
      <c r="A464" s="128" t="s">
        <v>704</v>
      </c>
      <c r="B464" s="193">
        <v>45</v>
      </c>
      <c r="C464" s="131">
        <v>178</v>
      </c>
      <c r="D464" s="125"/>
    </row>
    <row r="465" spans="1:4">
      <c r="A465" s="128" t="s">
        <v>705</v>
      </c>
      <c r="B465" s="193">
        <v>160</v>
      </c>
      <c r="C465" s="131">
        <v>50</v>
      </c>
      <c r="D465" s="125"/>
    </row>
    <row r="466" spans="1:4">
      <c r="A466" s="128" t="s">
        <v>706</v>
      </c>
      <c r="B466" s="193">
        <v>0</v>
      </c>
      <c r="C466" s="131">
        <v>42</v>
      </c>
      <c r="D466" s="125"/>
    </row>
    <row r="467" spans="1:4">
      <c r="A467" s="128" t="s">
        <v>707</v>
      </c>
      <c r="B467" s="193">
        <v>110</v>
      </c>
      <c r="C467" s="131">
        <v>100</v>
      </c>
      <c r="D467" s="125"/>
    </row>
    <row r="468" spans="1:4">
      <c r="A468" s="127" t="s">
        <v>708</v>
      </c>
      <c r="B468" s="193">
        <v>188</v>
      </c>
      <c r="C468" s="131">
        <v>225</v>
      </c>
      <c r="D468" s="125"/>
    </row>
    <row r="469" spans="1:4">
      <c r="A469" s="128" t="s">
        <v>709</v>
      </c>
      <c r="B469" s="193">
        <v>188</v>
      </c>
      <c r="C469" s="131">
        <v>225</v>
      </c>
      <c r="D469" s="125"/>
    </row>
    <row r="470" spans="1:4">
      <c r="A470" s="126" t="s">
        <v>216</v>
      </c>
      <c r="B470" s="193">
        <v>12000</v>
      </c>
      <c r="C470" s="131">
        <v>12000</v>
      </c>
      <c r="D470" s="125"/>
    </row>
    <row r="471" spans="1:4">
      <c r="A471" s="126" t="s">
        <v>153</v>
      </c>
      <c r="B471" s="193">
        <v>200</v>
      </c>
      <c r="C471" s="131">
        <v>150</v>
      </c>
      <c r="D471" s="125"/>
    </row>
    <row r="472" spans="1:4">
      <c r="A472" s="127" t="s">
        <v>710</v>
      </c>
      <c r="B472" s="193">
        <v>200</v>
      </c>
      <c r="C472" s="131">
        <v>150</v>
      </c>
      <c r="D472" s="125"/>
    </row>
    <row r="473" spans="1:4">
      <c r="A473" s="128" t="s">
        <v>711</v>
      </c>
      <c r="B473" s="193">
        <v>200</v>
      </c>
      <c r="C473" s="131">
        <v>150</v>
      </c>
      <c r="D473" s="125"/>
    </row>
    <row r="474" spans="1:4">
      <c r="A474" s="126" t="s">
        <v>326</v>
      </c>
      <c r="B474" s="193">
        <v>44200</v>
      </c>
      <c r="C474" s="131">
        <v>43700</v>
      </c>
      <c r="D474" s="125"/>
    </row>
    <row r="475" spans="1:4">
      <c r="A475" s="127" t="s">
        <v>712</v>
      </c>
      <c r="B475" s="193">
        <v>44200</v>
      </c>
      <c r="C475" s="131">
        <v>43700</v>
      </c>
      <c r="D475" s="125"/>
    </row>
    <row r="476" spans="1:4">
      <c r="A476" s="128" t="s">
        <v>713</v>
      </c>
      <c r="B476" s="193">
        <v>44200</v>
      </c>
      <c r="C476" s="131">
        <v>43700</v>
      </c>
      <c r="D476" s="125"/>
    </row>
    <row r="477" spans="1:4">
      <c r="A477" s="126" t="s">
        <v>327</v>
      </c>
      <c r="B477" s="193">
        <v>200</v>
      </c>
      <c r="C477" s="131">
        <v>100</v>
      </c>
      <c r="D477" s="125"/>
    </row>
    <row r="478" spans="1:4">
      <c r="A478" s="127" t="s">
        <v>714</v>
      </c>
      <c r="B478" s="193">
        <v>200</v>
      </c>
      <c r="C478" s="131">
        <v>100</v>
      </c>
      <c r="D478" s="125"/>
    </row>
    <row r="479" spans="1:4">
      <c r="A479" s="128" t="s">
        <v>851</v>
      </c>
      <c r="B479" s="193">
        <v>200</v>
      </c>
      <c r="C479" s="131">
        <v>100</v>
      </c>
      <c r="D479" s="125"/>
    </row>
    <row r="480" spans="1:4">
      <c r="A480" s="28" t="s">
        <v>250</v>
      </c>
      <c r="B480" s="132">
        <v>1278245</v>
      </c>
      <c r="C480" s="132">
        <v>1269826</v>
      </c>
      <c r="D480" s="123">
        <f t="shared" ref="D480:D496" si="7">IF(C480&lt;&gt;0,B480/C480*100,0)</f>
        <v>100.66</v>
      </c>
    </row>
    <row r="481" spans="1:5">
      <c r="A481" s="41" t="s">
        <v>156</v>
      </c>
      <c r="B481" s="132">
        <v>30000</v>
      </c>
      <c r="C481" s="132"/>
      <c r="D481" s="123">
        <f t="shared" si="7"/>
        <v>0</v>
      </c>
    </row>
    <row r="482" spans="1:5">
      <c r="A482" s="41" t="s">
        <v>8</v>
      </c>
      <c r="B482" s="132">
        <f>SUBTOTAL(9,B483:B495)</f>
        <v>235351</v>
      </c>
      <c r="C482" s="132">
        <f>SUBTOTAL(9,C483:C495)</f>
        <v>236851</v>
      </c>
      <c r="D482" s="123">
        <f t="shared" si="7"/>
        <v>99.37</v>
      </c>
    </row>
    <row r="483" spans="1:5">
      <c r="A483" s="24" t="s">
        <v>39</v>
      </c>
      <c r="B483" s="25"/>
      <c r="C483" s="20"/>
      <c r="D483" s="123">
        <f t="shared" si="7"/>
        <v>0</v>
      </c>
    </row>
    <row r="484" spans="1:5">
      <c r="A484" s="24" t="s">
        <v>40</v>
      </c>
      <c r="B484" s="25"/>
      <c r="C484" s="20"/>
      <c r="D484" s="123">
        <f t="shared" si="7"/>
        <v>0</v>
      </c>
    </row>
    <row r="485" spans="1:5">
      <c r="A485" s="23" t="s">
        <v>41</v>
      </c>
      <c r="B485" s="23"/>
      <c r="C485" s="20"/>
      <c r="D485" s="123">
        <f t="shared" si="7"/>
        <v>0</v>
      </c>
    </row>
    <row r="486" spans="1:5">
      <c r="A486" s="23" t="s">
        <v>42</v>
      </c>
      <c r="B486" s="22"/>
      <c r="C486" s="20"/>
      <c r="D486" s="123">
        <f t="shared" si="7"/>
        <v>0</v>
      </c>
    </row>
    <row r="487" spans="1:5">
      <c r="A487" s="24" t="s">
        <v>252</v>
      </c>
      <c r="B487" s="132">
        <v>235351</v>
      </c>
      <c r="C487" s="132">
        <v>236851</v>
      </c>
      <c r="D487" s="123">
        <f t="shared" si="7"/>
        <v>99.37</v>
      </c>
    </row>
    <row r="488" spans="1:5">
      <c r="A488" s="26" t="s">
        <v>43</v>
      </c>
      <c r="B488" s="22"/>
      <c r="C488" s="26"/>
      <c r="D488" s="123">
        <f t="shared" si="7"/>
        <v>0</v>
      </c>
    </row>
    <row r="489" spans="1:5">
      <c r="A489" s="23" t="s">
        <v>44</v>
      </c>
      <c r="B489" s="22"/>
      <c r="C489" s="26"/>
      <c r="D489" s="123">
        <f t="shared" si="7"/>
        <v>0</v>
      </c>
    </row>
    <row r="490" spans="1:5">
      <c r="A490" s="105" t="s">
        <v>45</v>
      </c>
      <c r="B490" s="22"/>
      <c r="C490" s="26"/>
      <c r="D490" s="123">
        <f t="shared" si="7"/>
        <v>0</v>
      </c>
    </row>
    <row r="491" spans="1:5">
      <c r="A491" s="106" t="s">
        <v>46</v>
      </c>
      <c r="B491" s="22"/>
      <c r="C491" s="26"/>
      <c r="D491" s="123">
        <f t="shared" si="7"/>
        <v>0</v>
      </c>
    </row>
    <row r="492" spans="1:5">
      <c r="A492" s="106" t="s">
        <v>47</v>
      </c>
      <c r="B492" s="22"/>
      <c r="C492" s="26"/>
      <c r="D492" s="123">
        <f t="shared" si="7"/>
        <v>0</v>
      </c>
    </row>
    <row r="493" spans="1:5">
      <c r="A493" s="106" t="s">
        <v>48</v>
      </c>
      <c r="B493" s="22"/>
      <c r="C493" s="26"/>
      <c r="D493" s="123">
        <f t="shared" si="7"/>
        <v>0</v>
      </c>
    </row>
    <row r="494" spans="1:5">
      <c r="A494" s="27" t="s">
        <v>49</v>
      </c>
      <c r="B494" s="22"/>
      <c r="C494" s="26"/>
      <c r="D494" s="123">
        <f t="shared" si="7"/>
        <v>0</v>
      </c>
    </row>
    <row r="495" spans="1:5">
      <c r="A495" s="22" t="s">
        <v>50</v>
      </c>
      <c r="B495" s="22"/>
      <c r="C495" s="26"/>
      <c r="D495" s="123">
        <f t="shared" si="7"/>
        <v>0</v>
      </c>
      <c r="E495" s="19"/>
    </row>
    <row r="496" spans="1:5">
      <c r="A496" s="28" t="s">
        <v>251</v>
      </c>
      <c r="B496" s="132">
        <f>B480+B481+B482</f>
        <v>1543596</v>
      </c>
      <c r="C496" s="132">
        <f>C480+C481+C482</f>
        <v>1506677</v>
      </c>
      <c r="D496" s="123">
        <f t="shared" si="7"/>
        <v>102.45</v>
      </c>
    </row>
  </sheetData>
  <autoFilter ref="A4:E496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8" sqref="B18"/>
    </sheetView>
  </sheetViews>
  <sheetFormatPr defaultColWidth="9" defaultRowHeight="11.25"/>
  <cols>
    <col min="1" max="1" width="37.625" style="29" customWidth="1"/>
    <col min="2" max="2" width="13" style="29" customWidth="1"/>
    <col min="3" max="3" width="14.875" style="29" customWidth="1"/>
    <col min="4" max="4" width="15.5" style="29" customWidth="1"/>
    <col min="5" max="5" width="20.75" style="29" customWidth="1"/>
    <col min="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77" t="s">
        <v>54</v>
      </c>
    </row>
    <row r="2" spans="1:11" ht="32.450000000000003" customHeight="1">
      <c r="A2" s="218" t="s">
        <v>854</v>
      </c>
      <c r="B2" s="218"/>
      <c r="C2" s="218"/>
      <c r="D2" s="218"/>
    </row>
    <row r="3" spans="1:11" ht="23.45" customHeight="1">
      <c r="D3" s="8" t="s">
        <v>32</v>
      </c>
    </row>
    <row r="4" spans="1:11" ht="48.6" customHeight="1">
      <c r="A4" s="49" t="s">
        <v>146</v>
      </c>
      <c r="B4" s="72" t="s">
        <v>31</v>
      </c>
      <c r="C4" s="89" t="s">
        <v>225</v>
      </c>
      <c r="D4" s="100" t="s">
        <v>229</v>
      </c>
    </row>
    <row r="5" spans="1:11" ht="24.6" customHeight="1">
      <c r="A5" s="49" t="s">
        <v>224</v>
      </c>
      <c r="B5" s="196">
        <f>SUM(B6:B20)</f>
        <v>1543596</v>
      </c>
      <c r="C5" s="196">
        <f>SUM(C6:C20)</f>
        <v>1506633</v>
      </c>
      <c r="D5" s="197">
        <f>(ROUND(B5/C5,4)-1)*100</f>
        <v>2</v>
      </c>
    </row>
    <row r="6" spans="1:11" ht="24.6" customHeight="1">
      <c r="A6" s="50" t="s">
        <v>157</v>
      </c>
      <c r="B6" s="198">
        <v>134773</v>
      </c>
      <c r="C6" s="198">
        <v>168510</v>
      </c>
      <c r="D6" s="199">
        <f>(ROUND(B6/C6,4)-1)*100</f>
        <v>-20.02</v>
      </c>
      <c r="E6" s="91"/>
      <c r="F6" s="30"/>
      <c r="G6" s="30"/>
      <c r="H6" s="30"/>
      <c r="I6" s="30"/>
      <c r="J6" s="30"/>
      <c r="K6" s="30"/>
    </row>
    <row r="7" spans="1:11" ht="24.6" customHeight="1">
      <c r="A7" s="50" t="s">
        <v>158</v>
      </c>
      <c r="B7" s="198">
        <v>273140</v>
      </c>
      <c r="C7" s="198">
        <f>152393+26982</f>
        <v>179375</v>
      </c>
      <c r="D7" s="199">
        <f>(ROUND(B7/C7,4)-1)*100</f>
        <v>52.27</v>
      </c>
      <c r="E7" s="91"/>
      <c r="F7" s="30"/>
      <c r="G7" s="30"/>
      <c r="H7" s="30"/>
      <c r="I7" s="30"/>
      <c r="J7" s="30"/>
      <c r="K7" s="30"/>
    </row>
    <row r="8" spans="1:11" ht="24.6" customHeight="1">
      <c r="A8" s="50" t="s">
        <v>160</v>
      </c>
      <c r="B8" s="198">
        <v>42193</v>
      </c>
      <c r="C8" s="198">
        <v>19562</v>
      </c>
      <c r="D8" s="199">
        <f>(ROUND(B8/C8,4)-1)*100</f>
        <v>115.69</v>
      </c>
      <c r="E8" s="91"/>
      <c r="F8" s="30"/>
      <c r="G8" s="30"/>
      <c r="H8" s="30"/>
      <c r="I8" s="30"/>
      <c r="J8" s="30"/>
      <c r="K8" s="30"/>
    </row>
    <row r="9" spans="1:11" ht="24.6" customHeight="1">
      <c r="A9" s="50" t="s">
        <v>161</v>
      </c>
      <c r="B9" s="198"/>
      <c r="C9" s="198"/>
      <c r="D9" s="200"/>
      <c r="E9" s="91"/>
      <c r="F9" s="30"/>
      <c r="G9" s="30"/>
      <c r="H9" s="30"/>
      <c r="I9" s="30"/>
      <c r="J9" s="30"/>
      <c r="K9" s="30"/>
    </row>
    <row r="10" spans="1:11" ht="24.6" customHeight="1">
      <c r="A10" s="50" t="s">
        <v>162</v>
      </c>
      <c r="B10" s="198">
        <v>390520</v>
      </c>
      <c r="C10" s="198">
        <v>329809</v>
      </c>
      <c r="D10" s="199">
        <f>(ROUND(B10/C10,4)-1)*100</f>
        <v>18.41</v>
      </c>
      <c r="E10" s="91"/>
      <c r="F10" s="30"/>
      <c r="G10" s="48"/>
      <c r="H10" s="30"/>
      <c r="I10" s="30"/>
      <c r="J10" s="30"/>
      <c r="K10" s="30"/>
    </row>
    <row r="11" spans="1:11" ht="24.6" customHeight="1">
      <c r="A11" s="50" t="s">
        <v>163</v>
      </c>
      <c r="B11" s="198">
        <v>10715</v>
      </c>
      <c r="C11" s="198">
        <v>9195</v>
      </c>
      <c r="D11" s="199">
        <f>(ROUND(B11/C11,4)-1)*100</f>
        <v>16.53</v>
      </c>
      <c r="E11" s="91"/>
      <c r="F11" s="30"/>
      <c r="G11" s="30"/>
      <c r="H11" s="30"/>
      <c r="I11" s="30"/>
      <c r="J11" s="30"/>
      <c r="K11" s="30"/>
    </row>
    <row r="12" spans="1:11" ht="24.6" customHeight="1">
      <c r="A12" s="50" t="s">
        <v>164</v>
      </c>
      <c r="B12" s="198">
        <v>166895</v>
      </c>
      <c r="C12" s="198">
        <v>178293</v>
      </c>
      <c r="D12" s="199">
        <f>(ROUND(B12/C12,4)-1)*100</f>
        <v>-6.39</v>
      </c>
      <c r="E12" s="91"/>
      <c r="F12" s="30"/>
      <c r="G12" s="30"/>
      <c r="H12" s="30"/>
      <c r="I12" s="30"/>
      <c r="J12" s="30"/>
      <c r="K12" s="30"/>
    </row>
    <row r="13" spans="1:11" ht="24.6" customHeight="1">
      <c r="A13" s="50" t="s">
        <v>165</v>
      </c>
      <c r="B13" s="198"/>
      <c r="C13" s="198">
        <v>1000</v>
      </c>
      <c r="D13" s="200"/>
      <c r="E13" s="91"/>
      <c r="F13" s="30"/>
      <c r="G13" s="30"/>
      <c r="H13" s="30"/>
      <c r="I13" s="30"/>
      <c r="J13" s="30"/>
      <c r="K13" s="30"/>
    </row>
    <row r="14" spans="1:11" ht="24.6" customHeight="1">
      <c r="A14" s="50" t="s">
        <v>166</v>
      </c>
      <c r="B14" s="198">
        <v>58332</v>
      </c>
      <c r="C14" s="198">
        <v>58834</v>
      </c>
      <c r="D14" s="199">
        <f t="shared" ref="D14:D20" si="0">(ROUND(B14/C14,4)-1)*100</f>
        <v>-0.85</v>
      </c>
      <c r="E14" s="91"/>
      <c r="F14" s="30"/>
      <c r="G14" s="30"/>
      <c r="H14" s="30"/>
      <c r="I14" s="30"/>
      <c r="J14" s="30"/>
      <c r="K14" s="30"/>
    </row>
    <row r="15" spans="1:11" ht="24.6" customHeight="1">
      <c r="A15" s="50" t="s">
        <v>167</v>
      </c>
      <c r="B15" s="198">
        <f>74239+12765</f>
        <v>87004</v>
      </c>
      <c r="C15" s="198">
        <v>80511</v>
      </c>
      <c r="D15" s="199">
        <f t="shared" si="0"/>
        <v>8.06</v>
      </c>
      <c r="E15" s="91"/>
      <c r="F15" s="30"/>
      <c r="G15" s="30"/>
      <c r="H15" s="30"/>
      <c r="I15" s="30"/>
      <c r="J15" s="30"/>
      <c r="K15" s="30"/>
    </row>
    <row r="16" spans="1:11" ht="24.6" customHeight="1">
      <c r="A16" s="50" t="s">
        <v>168</v>
      </c>
      <c r="B16" s="198">
        <v>44400</v>
      </c>
      <c r="C16" s="198">
        <v>43100</v>
      </c>
      <c r="D16" s="199">
        <f t="shared" si="0"/>
        <v>3.02</v>
      </c>
      <c r="E16" s="91"/>
      <c r="F16" s="30"/>
      <c r="G16" s="30"/>
      <c r="H16" s="30"/>
      <c r="I16" s="30"/>
      <c r="J16" s="30"/>
      <c r="K16" s="30"/>
    </row>
    <row r="17" spans="1:11" ht="24.6" customHeight="1">
      <c r="A17" s="50" t="s">
        <v>169</v>
      </c>
      <c r="B17" s="198">
        <v>30000</v>
      </c>
      <c r="C17" s="198">
        <v>30320</v>
      </c>
      <c r="D17" s="200">
        <f t="shared" si="0"/>
        <v>-1.06</v>
      </c>
      <c r="E17" s="91"/>
      <c r="F17" s="30"/>
      <c r="G17" s="30"/>
      <c r="H17" s="30"/>
      <c r="I17" s="30"/>
      <c r="J17" s="30"/>
      <c r="K17" s="30"/>
    </row>
    <row r="18" spans="1:11" ht="24.6" customHeight="1">
      <c r="A18" s="50" t="s">
        <v>170</v>
      </c>
      <c r="B18" s="198">
        <v>235351</v>
      </c>
      <c r="C18" s="198">
        <f>87000+237031</f>
        <v>324031</v>
      </c>
      <c r="D18" s="199">
        <f t="shared" si="0"/>
        <v>-27.37</v>
      </c>
      <c r="E18" s="91"/>
      <c r="F18" s="30"/>
      <c r="G18" s="30"/>
      <c r="H18" s="30"/>
      <c r="I18" s="30"/>
      <c r="J18" s="30"/>
      <c r="K18" s="30"/>
    </row>
    <row r="19" spans="1:11" ht="24.6" customHeight="1">
      <c r="A19" s="50" t="s">
        <v>171</v>
      </c>
      <c r="B19" s="198">
        <v>12000</v>
      </c>
      <c r="C19" s="198">
        <v>12000</v>
      </c>
      <c r="D19" s="199">
        <f t="shared" si="0"/>
        <v>0</v>
      </c>
      <c r="E19" s="91"/>
      <c r="F19" s="30"/>
      <c r="G19" s="30"/>
      <c r="H19" s="30"/>
      <c r="I19" s="30"/>
      <c r="J19" s="30"/>
      <c r="K19" s="30"/>
    </row>
    <row r="20" spans="1:11" ht="24.6" customHeight="1">
      <c r="A20" s="50" t="s">
        <v>172</v>
      </c>
      <c r="B20" s="198">
        <f>37793+20480</f>
        <v>58273</v>
      </c>
      <c r="C20" s="198">
        <v>72093</v>
      </c>
      <c r="D20" s="199">
        <f t="shared" si="0"/>
        <v>-19.170000000000002</v>
      </c>
      <c r="E20" s="91"/>
      <c r="F20" s="30"/>
      <c r="G20" s="30"/>
      <c r="H20" s="30"/>
      <c r="I20" s="30"/>
      <c r="J20" s="30"/>
      <c r="K20" s="30"/>
    </row>
    <row r="21" spans="1:11" ht="45.75" customHeight="1">
      <c r="A21" s="219"/>
      <c r="B21" s="219"/>
      <c r="C21" s="219"/>
      <c r="D21" s="219"/>
      <c r="E21" s="91"/>
    </row>
    <row r="22" spans="1:11" ht="22.15" customHeight="1">
      <c r="E22" s="91"/>
    </row>
    <row r="23" spans="1:11" ht="22.15" customHeight="1">
      <c r="E23" s="91"/>
    </row>
    <row r="24" spans="1:11" ht="22.15" customHeight="1">
      <c r="E24" s="91"/>
    </row>
    <row r="25" spans="1:11" ht="22.15" customHeight="1">
      <c r="E25" s="91"/>
    </row>
    <row r="26" spans="1:11" ht="22.15" customHeight="1">
      <c r="E26" s="91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A3" sqref="A3"/>
    </sheetView>
  </sheetViews>
  <sheetFormatPr defaultColWidth="9" defaultRowHeight="11.25"/>
  <cols>
    <col min="1" max="1" width="35.625" style="31" customWidth="1"/>
    <col min="2" max="2" width="16.625" style="31" customWidth="1"/>
    <col min="3" max="3" width="16.25" style="31" customWidth="1"/>
    <col min="4" max="4" width="18.75" style="31" customWidth="1"/>
    <col min="5" max="16384" width="9" style="31"/>
  </cols>
  <sheetData>
    <row r="1" spans="1:7" ht="18.600000000000001" customHeight="1">
      <c r="A1" s="78" t="s">
        <v>771</v>
      </c>
    </row>
    <row r="2" spans="1:7" ht="20.25">
      <c r="A2" s="220" t="s">
        <v>855</v>
      </c>
      <c r="B2" s="220"/>
      <c r="C2" s="220"/>
      <c r="D2" s="220"/>
    </row>
    <row r="3" spans="1:7" ht="21" customHeight="1">
      <c r="A3" s="32"/>
      <c r="D3" s="79" t="s">
        <v>144</v>
      </c>
    </row>
    <row r="4" spans="1:7" ht="39" customHeight="1">
      <c r="A4" s="93" t="s">
        <v>222</v>
      </c>
      <c r="B4" s="72" t="s">
        <v>31</v>
      </c>
      <c r="C4" s="73" t="s">
        <v>225</v>
      </c>
      <c r="D4" s="100" t="s">
        <v>229</v>
      </c>
    </row>
    <row r="5" spans="1:7" ht="22.15" customHeight="1">
      <c r="A5" s="93" t="s">
        <v>223</v>
      </c>
      <c r="B5" s="72">
        <f>B6+B11+B22+B30+B37+B41+B44+B48+B51+B57+B60+B65+B68+B73+B76</f>
        <v>1543596</v>
      </c>
      <c r="C5" s="72">
        <f>C6+C11+C22+C30+C37+C41+C44+C48+C51+C57+C60+C65+C68+C73+C76</f>
        <v>1506633</v>
      </c>
      <c r="D5" s="143">
        <f>(ROUND(B5/C5,4)-1)*100</f>
        <v>2.4500000000000002</v>
      </c>
    </row>
    <row r="6" spans="1:7" s="92" customFormat="1" ht="16.350000000000001" customHeight="1">
      <c r="A6" s="94" t="s">
        <v>157</v>
      </c>
      <c r="B6" s="201">
        <f>SUM(B7:B10)</f>
        <v>134773</v>
      </c>
      <c r="C6" s="201">
        <f>SUM(C7:C10)</f>
        <v>168510</v>
      </c>
      <c r="D6" s="143">
        <f>(ROUND(B6/C6,4)-1)*100</f>
        <v>-20.02</v>
      </c>
    </row>
    <row r="7" spans="1:7" ht="16.350000000000001" customHeight="1">
      <c r="A7" s="95" t="s">
        <v>173</v>
      </c>
      <c r="B7" s="202">
        <v>78606</v>
      </c>
      <c r="C7" s="202">
        <f>115646+226</f>
        <v>115872</v>
      </c>
      <c r="D7" s="178">
        <f t="shared" ref="D7:D10" si="0">(ROUND(B7/C7,4)-1)*100</f>
        <v>-32.159999999999997</v>
      </c>
    </row>
    <row r="8" spans="1:7" ht="16.350000000000001" customHeight="1">
      <c r="A8" s="95" t="s">
        <v>174</v>
      </c>
      <c r="B8" s="202">
        <v>26514</v>
      </c>
      <c r="C8" s="202">
        <v>16193</v>
      </c>
      <c r="D8" s="178">
        <f t="shared" si="0"/>
        <v>63.74</v>
      </c>
    </row>
    <row r="9" spans="1:7" ht="16.350000000000001" customHeight="1">
      <c r="A9" s="95" t="s">
        <v>175</v>
      </c>
      <c r="B9" s="202">
        <v>9691</v>
      </c>
      <c r="C9" s="202">
        <v>10222</v>
      </c>
      <c r="D9" s="178">
        <f t="shared" si="0"/>
        <v>-5.19</v>
      </c>
    </row>
    <row r="10" spans="1:7" ht="16.350000000000001" customHeight="1">
      <c r="A10" s="95" t="s">
        <v>176</v>
      </c>
      <c r="B10" s="202">
        <v>19962</v>
      </c>
      <c r="C10" s="202">
        <v>26223</v>
      </c>
      <c r="D10" s="178">
        <f t="shared" si="0"/>
        <v>-23.88</v>
      </c>
      <c r="G10" s="47"/>
    </row>
    <row r="11" spans="1:7" s="92" customFormat="1" ht="16.350000000000001" customHeight="1">
      <c r="A11" s="94" t="s">
        <v>158</v>
      </c>
      <c r="B11" s="201">
        <f>SUM(B12:B21)</f>
        <v>273140</v>
      </c>
      <c r="C11" s="201">
        <f>SUM(C12:C21)</f>
        <v>179375</v>
      </c>
      <c r="D11" s="143">
        <f>(ROUND(B11/C11,4)-1)*100</f>
        <v>52.27</v>
      </c>
    </row>
    <row r="12" spans="1:7" ht="16.350000000000001" customHeight="1">
      <c r="A12" s="95" t="s">
        <v>177</v>
      </c>
      <c r="B12" s="202">
        <v>29232</v>
      </c>
      <c r="C12" s="202">
        <v>19890</v>
      </c>
      <c r="D12" s="178">
        <f t="shared" ref="D12:D21" si="1">(ROUND(B12/C12,4)-1)*100</f>
        <v>46.97</v>
      </c>
    </row>
    <row r="13" spans="1:7" ht="16.350000000000001" customHeight="1">
      <c r="A13" s="95" t="s">
        <v>178</v>
      </c>
      <c r="B13" s="202">
        <v>523</v>
      </c>
      <c r="C13" s="202">
        <v>631</v>
      </c>
      <c r="D13" s="178">
        <f t="shared" si="1"/>
        <v>-17.12</v>
      </c>
    </row>
    <row r="14" spans="1:7" ht="16.350000000000001" customHeight="1">
      <c r="A14" s="95" t="s">
        <v>179</v>
      </c>
      <c r="B14" s="202">
        <v>825</v>
      </c>
      <c r="C14" s="202">
        <v>1200</v>
      </c>
      <c r="D14" s="178">
        <f t="shared" si="1"/>
        <v>-31.25</v>
      </c>
    </row>
    <row r="15" spans="1:7" ht="16.350000000000001" customHeight="1">
      <c r="A15" s="95" t="s">
        <v>180</v>
      </c>
      <c r="B15" s="202">
        <v>1520</v>
      </c>
      <c r="C15" s="202">
        <v>3406</v>
      </c>
      <c r="D15" s="178">
        <f t="shared" si="1"/>
        <v>-55.37</v>
      </c>
    </row>
    <row r="16" spans="1:7" ht="16.350000000000001" customHeight="1">
      <c r="A16" s="95" t="s">
        <v>181</v>
      </c>
      <c r="B16" s="202">
        <v>94693</v>
      </c>
      <c r="C16" s="202">
        <v>94546</v>
      </c>
      <c r="D16" s="178">
        <f t="shared" si="1"/>
        <v>0.16</v>
      </c>
    </row>
    <row r="17" spans="1:4" ht="16.350000000000001" customHeight="1">
      <c r="A17" s="95" t="s">
        <v>182</v>
      </c>
      <c r="B17" s="202">
        <v>67</v>
      </c>
      <c r="C17" s="202">
        <v>237</v>
      </c>
      <c r="D17" s="178">
        <f t="shared" si="1"/>
        <v>-71.73</v>
      </c>
    </row>
    <row r="18" spans="1:4" ht="16.350000000000001" customHeight="1">
      <c r="A18" s="95" t="s">
        <v>183</v>
      </c>
      <c r="B18" s="202">
        <v>12</v>
      </c>
      <c r="C18" s="202">
        <v>113</v>
      </c>
      <c r="D18" s="178">
        <f t="shared" si="1"/>
        <v>-89.38</v>
      </c>
    </row>
    <row r="19" spans="1:4" ht="16.350000000000001" customHeight="1">
      <c r="A19" s="95" t="s">
        <v>184</v>
      </c>
      <c r="B19" s="202">
        <v>639</v>
      </c>
      <c r="C19" s="202">
        <v>862</v>
      </c>
      <c r="D19" s="178">
        <f t="shared" si="1"/>
        <v>-25.87</v>
      </c>
    </row>
    <row r="20" spans="1:4" ht="16.350000000000001" customHeight="1">
      <c r="A20" s="95" t="s">
        <v>185</v>
      </c>
      <c r="B20" s="202">
        <v>3916</v>
      </c>
      <c r="C20" s="202">
        <v>3965</v>
      </c>
      <c r="D20" s="178">
        <f t="shared" si="1"/>
        <v>-1.24</v>
      </c>
    </row>
    <row r="21" spans="1:4" ht="16.350000000000001" customHeight="1">
      <c r="A21" s="95" t="s">
        <v>221</v>
      </c>
      <c r="B21" s="202">
        <v>141713</v>
      </c>
      <c r="C21" s="202">
        <f>123102-68577</f>
        <v>54525</v>
      </c>
      <c r="D21" s="178">
        <f t="shared" si="1"/>
        <v>159.9</v>
      </c>
    </row>
    <row r="22" spans="1:4" s="92" customFormat="1" ht="16.350000000000001" customHeight="1">
      <c r="A22" s="94" t="s">
        <v>160</v>
      </c>
      <c r="B22" s="201">
        <f>SUM(B23:B29)</f>
        <v>42193</v>
      </c>
      <c r="C22" s="201">
        <f>SUM(C23:C29)</f>
        <v>19562</v>
      </c>
      <c r="D22" s="143">
        <f>(ROUND(B22/C22,4)-1)*100</f>
        <v>115.69</v>
      </c>
    </row>
    <row r="23" spans="1:4" ht="16.350000000000001" customHeight="1">
      <c r="A23" s="95" t="s">
        <v>186</v>
      </c>
      <c r="B23" s="202">
        <v>5539</v>
      </c>
      <c r="C23" s="202">
        <f>990+1308</f>
        <v>2298</v>
      </c>
      <c r="D23" s="178">
        <f t="shared" ref="D23:D24" si="2">(ROUND(B23/C23,4)-1)*100</f>
        <v>141.04</v>
      </c>
    </row>
    <row r="24" spans="1:4" ht="16.350000000000001" customHeight="1">
      <c r="A24" s="95" t="s">
        <v>187</v>
      </c>
      <c r="B24" s="202">
        <v>3420</v>
      </c>
      <c r="C24" s="202">
        <f>1000+1192</f>
        <v>2192</v>
      </c>
      <c r="D24" s="178">
        <f t="shared" si="2"/>
        <v>56.02</v>
      </c>
    </row>
    <row r="25" spans="1:4" ht="16.350000000000001" customHeight="1">
      <c r="A25" s="95" t="s">
        <v>188</v>
      </c>
      <c r="B25" s="202">
        <v>1068</v>
      </c>
      <c r="C25" s="202">
        <v>536</v>
      </c>
      <c r="D25" s="99"/>
    </row>
    <row r="26" spans="1:4" ht="16.350000000000001" customHeight="1">
      <c r="A26" s="95" t="s">
        <v>189</v>
      </c>
      <c r="B26" s="202">
        <v>0</v>
      </c>
      <c r="C26" s="202">
        <v>3302</v>
      </c>
      <c r="D26" s="99"/>
    </row>
    <row r="27" spans="1:4" ht="16.350000000000001" customHeight="1">
      <c r="A27" s="95" t="s">
        <v>190</v>
      </c>
      <c r="B27" s="202">
        <v>10872</v>
      </c>
      <c r="C27" s="202">
        <f>1100+801</f>
        <v>1901</v>
      </c>
      <c r="D27" s="99"/>
    </row>
    <row r="28" spans="1:4" ht="16.350000000000001" customHeight="1">
      <c r="A28" s="95" t="s">
        <v>191</v>
      </c>
      <c r="B28" s="202">
        <v>2154</v>
      </c>
      <c r="C28" s="202">
        <f>9133+200</f>
        <v>9333</v>
      </c>
      <c r="D28" s="99"/>
    </row>
    <row r="29" spans="1:4" ht="16.350000000000001" customHeight="1">
      <c r="A29" s="95" t="s">
        <v>152</v>
      </c>
      <c r="B29" s="202">
        <v>19140</v>
      </c>
      <c r="C29" s="202"/>
      <c r="D29" s="99"/>
    </row>
    <row r="30" spans="1:4" s="92" customFormat="1" ht="16.350000000000001" customHeight="1">
      <c r="A30" s="94" t="s">
        <v>161</v>
      </c>
      <c r="B30" s="201"/>
      <c r="C30" s="201"/>
      <c r="D30" s="98"/>
    </row>
    <row r="31" spans="1:4" ht="16.350000000000001" customHeight="1">
      <c r="A31" s="95" t="s">
        <v>186</v>
      </c>
      <c r="B31" s="202"/>
      <c r="C31" s="202"/>
      <c r="D31" s="99"/>
    </row>
    <row r="32" spans="1:4" ht="16.350000000000001" customHeight="1">
      <c r="A32" s="95" t="s">
        <v>187</v>
      </c>
      <c r="B32" s="202"/>
      <c r="C32" s="202"/>
      <c r="D32" s="99"/>
    </row>
    <row r="33" spans="1:4" ht="16.350000000000001" customHeight="1">
      <c r="A33" s="95" t="s">
        <v>188</v>
      </c>
      <c r="B33" s="202"/>
      <c r="C33" s="202"/>
      <c r="D33" s="99"/>
    </row>
    <row r="34" spans="1:4" ht="16.350000000000001" customHeight="1">
      <c r="A34" s="95" t="s">
        <v>190</v>
      </c>
      <c r="B34" s="202"/>
      <c r="C34" s="202"/>
      <c r="D34" s="99"/>
    </row>
    <row r="35" spans="1:4" ht="16.350000000000001" customHeight="1">
      <c r="A35" s="95" t="s">
        <v>191</v>
      </c>
      <c r="B35" s="202"/>
      <c r="C35" s="202"/>
      <c r="D35" s="99"/>
    </row>
    <row r="36" spans="1:4" ht="16.350000000000001" customHeight="1">
      <c r="A36" s="95" t="s">
        <v>152</v>
      </c>
      <c r="B36" s="202"/>
      <c r="C36" s="202"/>
      <c r="D36" s="99"/>
    </row>
    <row r="37" spans="1:4" s="92" customFormat="1" ht="16.350000000000001" customHeight="1">
      <c r="A37" s="94" t="s">
        <v>162</v>
      </c>
      <c r="B37" s="201">
        <f>SUM(B38:B40)</f>
        <v>390520</v>
      </c>
      <c r="C37" s="201">
        <f>SUM(C38:C40)</f>
        <v>329809</v>
      </c>
      <c r="D37" s="143">
        <f>(ROUND(B37/C37,4)-1)*100</f>
        <v>18.41</v>
      </c>
    </row>
    <row r="38" spans="1:4" ht="16.350000000000001" customHeight="1">
      <c r="A38" s="95" t="s">
        <v>150</v>
      </c>
      <c r="B38" s="202">
        <v>327633</v>
      </c>
      <c r="C38" s="202">
        <f>295577-3491</f>
        <v>292086</v>
      </c>
      <c r="D38" s="178">
        <f t="shared" ref="D38:D39" si="3">(ROUND(B38/C38,4)-1)*100</f>
        <v>12.17</v>
      </c>
    </row>
    <row r="39" spans="1:4" ht="16.350000000000001" customHeight="1">
      <c r="A39" s="95" t="s">
        <v>151</v>
      </c>
      <c r="B39" s="202">
        <v>41705</v>
      </c>
      <c r="C39" s="202">
        <v>37723</v>
      </c>
      <c r="D39" s="178">
        <f t="shared" si="3"/>
        <v>10.56</v>
      </c>
    </row>
    <row r="40" spans="1:4" ht="16.350000000000001" customHeight="1">
      <c r="A40" s="95" t="s">
        <v>192</v>
      </c>
      <c r="B40" s="202">
        <v>21182</v>
      </c>
      <c r="C40" s="202"/>
      <c r="D40" s="99"/>
    </row>
    <row r="41" spans="1:4" s="92" customFormat="1" ht="16.350000000000001" customHeight="1">
      <c r="A41" s="94" t="s">
        <v>163</v>
      </c>
      <c r="B41" s="201">
        <f>SUM(B42:B43)</f>
        <v>10715</v>
      </c>
      <c r="C41" s="201">
        <f>SUM(C42:C43)</f>
        <v>9195</v>
      </c>
      <c r="D41" s="143">
        <f>(ROUND(B41/C41,4)-1)*100</f>
        <v>16.53</v>
      </c>
    </row>
    <row r="42" spans="1:4" ht="16.350000000000001" customHeight="1">
      <c r="A42" s="95" t="s">
        <v>193</v>
      </c>
      <c r="B42" s="202">
        <v>7795</v>
      </c>
      <c r="C42" s="202">
        <f>8146+526+523</f>
        <v>9195</v>
      </c>
      <c r="D42" s="99"/>
    </row>
    <row r="43" spans="1:4" ht="16.350000000000001" customHeight="1">
      <c r="A43" s="95" t="s">
        <v>194</v>
      </c>
      <c r="B43" s="202">
        <v>2920</v>
      </c>
      <c r="C43" s="202"/>
      <c r="D43" s="99"/>
    </row>
    <row r="44" spans="1:4" s="92" customFormat="1" ht="16.350000000000001" customHeight="1">
      <c r="A44" s="94" t="s">
        <v>230</v>
      </c>
      <c r="B44" s="201">
        <f>SUM(B45:B47)</f>
        <v>166895</v>
      </c>
      <c r="C44" s="201">
        <f>SUM(C45:C47)</f>
        <v>178293</v>
      </c>
      <c r="D44" s="143">
        <f>(ROUND(B44/C44,4)-1)*100</f>
        <v>-6.39</v>
      </c>
    </row>
    <row r="45" spans="1:4" ht="16.350000000000001" customHeight="1">
      <c r="A45" s="95" t="s">
        <v>195</v>
      </c>
      <c r="B45" s="202"/>
      <c r="C45" s="202"/>
      <c r="D45" s="99"/>
    </row>
    <row r="46" spans="1:4" ht="16.350000000000001" customHeight="1">
      <c r="A46" s="95" t="s">
        <v>196</v>
      </c>
      <c r="B46" s="202"/>
      <c r="C46" s="202"/>
      <c r="D46" s="178" t="e">
        <f t="shared" ref="D46:D47" si="4">(ROUND(B46/C46,4)-1)*100</f>
        <v>#DIV/0!</v>
      </c>
    </row>
    <row r="47" spans="1:4" ht="16.350000000000001" customHeight="1">
      <c r="A47" s="95" t="s">
        <v>197</v>
      </c>
      <c r="B47" s="202">
        <v>166895</v>
      </c>
      <c r="C47" s="202">
        <v>178293</v>
      </c>
      <c r="D47" s="178">
        <f t="shared" si="4"/>
        <v>-6.39</v>
      </c>
    </row>
    <row r="48" spans="1:4" s="92" customFormat="1" ht="16.350000000000001" customHeight="1">
      <c r="A48" s="94" t="s">
        <v>231</v>
      </c>
      <c r="B48" s="201">
        <f>SUM(B49:B50)</f>
        <v>0</v>
      </c>
      <c r="C48" s="201">
        <f>SUM(C49:C50)</f>
        <v>1000</v>
      </c>
      <c r="D48" s="143"/>
    </row>
    <row r="49" spans="1:4" ht="16.350000000000001" customHeight="1">
      <c r="A49" s="95" t="s">
        <v>198</v>
      </c>
      <c r="B49" s="202"/>
      <c r="C49" s="202">
        <v>1000</v>
      </c>
      <c r="D49" s="99"/>
    </row>
    <row r="50" spans="1:4" ht="16.350000000000001" customHeight="1">
      <c r="A50" s="95" t="s">
        <v>199</v>
      </c>
      <c r="B50" s="202"/>
      <c r="C50" s="202"/>
      <c r="D50" s="99"/>
    </row>
    <row r="51" spans="1:4" s="92" customFormat="1" ht="16.350000000000001" customHeight="1">
      <c r="A51" s="94" t="s">
        <v>232</v>
      </c>
      <c r="B51" s="201">
        <f>SUM(B52:B56)</f>
        <v>58332</v>
      </c>
      <c r="C51" s="201">
        <f>SUM(C52:C56)</f>
        <v>58834</v>
      </c>
      <c r="D51" s="143">
        <f>(ROUND(B51/C51,4)-1)*100</f>
        <v>-0.85</v>
      </c>
    </row>
    <row r="52" spans="1:4" ht="16.350000000000001" customHeight="1">
      <c r="A52" s="95" t="s">
        <v>200</v>
      </c>
      <c r="B52" s="202">
        <v>21593</v>
      </c>
      <c r="C52" s="202">
        <v>16319</v>
      </c>
      <c r="D52" s="178">
        <f>(ROUND(B52/C52,4)-1)*100</f>
        <v>32.32</v>
      </c>
    </row>
    <row r="53" spans="1:4" ht="16.350000000000001" customHeight="1">
      <c r="A53" s="95" t="s">
        <v>201</v>
      </c>
      <c r="B53" s="202">
        <v>2684</v>
      </c>
      <c r="C53" s="202">
        <v>1876</v>
      </c>
      <c r="D53" s="178"/>
    </row>
    <row r="54" spans="1:4" ht="16.350000000000001" customHeight="1">
      <c r="A54" s="95" t="s">
        <v>202</v>
      </c>
      <c r="B54" s="202">
        <v>0</v>
      </c>
      <c r="C54" s="202"/>
      <c r="D54" s="99"/>
    </row>
    <row r="55" spans="1:4" ht="16.350000000000001" customHeight="1">
      <c r="A55" s="95" t="s">
        <v>203</v>
      </c>
      <c r="B55" s="202">
        <v>20605</v>
      </c>
      <c r="C55" s="202">
        <v>25153</v>
      </c>
      <c r="D55" s="178">
        <f t="shared" ref="D55:D56" si="5">(ROUND(B55/C55,4)-1)*100</f>
        <v>-18.079999999999998</v>
      </c>
    </row>
    <row r="56" spans="1:4" ht="16.350000000000001" customHeight="1">
      <c r="A56" s="95" t="s">
        <v>204</v>
      </c>
      <c r="B56" s="202">
        <v>13450</v>
      </c>
      <c r="C56" s="202">
        <f>55682-40196</f>
        <v>15486</v>
      </c>
      <c r="D56" s="178">
        <f t="shared" si="5"/>
        <v>-13.15</v>
      </c>
    </row>
    <row r="57" spans="1:4" s="92" customFormat="1" ht="16.350000000000001" customHeight="1">
      <c r="A57" s="94" t="s">
        <v>167</v>
      </c>
      <c r="B57" s="201">
        <f>SUM(B58:B59)</f>
        <v>87004</v>
      </c>
      <c r="C57" s="201">
        <f>SUM(C58:C59)</f>
        <v>80511</v>
      </c>
      <c r="D57" s="143">
        <f>(ROUND(B57/C57,4)-1)*100</f>
        <v>8.06</v>
      </c>
    </row>
    <row r="58" spans="1:4" ht="16.350000000000001" customHeight="1">
      <c r="A58" s="95" t="s">
        <v>205</v>
      </c>
      <c r="B58" s="202">
        <f>74239+12765</f>
        <v>87004</v>
      </c>
      <c r="C58" s="202">
        <f>30981+49530</f>
        <v>80511</v>
      </c>
      <c r="D58" s="178">
        <f>(ROUND(B58/C58,4)-1)*100</f>
        <v>8.06</v>
      </c>
    </row>
    <row r="59" spans="1:4" ht="16.350000000000001" customHeight="1">
      <c r="A59" s="95" t="s">
        <v>206</v>
      </c>
      <c r="B59" s="202"/>
      <c r="C59" s="202"/>
      <c r="D59" s="99"/>
    </row>
    <row r="60" spans="1:4" s="92" customFormat="1" ht="16.350000000000001" customHeight="1">
      <c r="A60" s="94" t="s">
        <v>233</v>
      </c>
      <c r="B60" s="201">
        <f>SUM(B61:B64)</f>
        <v>44400</v>
      </c>
      <c r="C60" s="201">
        <f>SUM(C61:C64)</f>
        <v>43100</v>
      </c>
      <c r="D60" s="143">
        <f>(ROUND(B60/C60,4)-1)*100</f>
        <v>3.02</v>
      </c>
    </row>
    <row r="61" spans="1:4" ht="16.350000000000001" customHeight="1">
      <c r="A61" s="95" t="s">
        <v>207</v>
      </c>
      <c r="B61" s="202">
        <v>44200</v>
      </c>
      <c r="C61" s="202">
        <v>42900</v>
      </c>
      <c r="D61" s="178">
        <f>(ROUND(B61/C61,4)-1)*100</f>
        <v>3.03</v>
      </c>
    </row>
    <row r="62" spans="1:4" ht="16.350000000000001" customHeight="1">
      <c r="A62" s="95" t="s">
        <v>208</v>
      </c>
      <c r="B62" s="202">
        <v>0</v>
      </c>
      <c r="C62" s="202"/>
      <c r="D62" s="99"/>
    </row>
    <row r="63" spans="1:4" ht="16.350000000000001" customHeight="1">
      <c r="A63" s="95" t="s">
        <v>209</v>
      </c>
      <c r="B63" s="202">
        <v>200</v>
      </c>
      <c r="C63" s="202">
        <v>200</v>
      </c>
      <c r="D63" s="178">
        <f>(ROUND(B63/C63,4)-1)*100</f>
        <v>0</v>
      </c>
    </row>
    <row r="64" spans="1:4" ht="16.350000000000001" customHeight="1">
      <c r="A64" s="95" t="s">
        <v>210</v>
      </c>
      <c r="B64" s="202">
        <v>0</v>
      </c>
      <c r="C64" s="202"/>
      <c r="D64" s="99"/>
    </row>
    <row r="65" spans="1:4" s="92" customFormat="1" ht="16.350000000000001" customHeight="1">
      <c r="A65" s="94" t="s">
        <v>169</v>
      </c>
      <c r="B65" s="201">
        <f>SUM(B66:B67)</f>
        <v>30000</v>
      </c>
      <c r="C65" s="201">
        <f>SUM(C66:C67)</f>
        <v>30320</v>
      </c>
      <c r="D65" s="143"/>
    </row>
    <row r="66" spans="1:4" ht="16.350000000000001" customHeight="1">
      <c r="A66" s="95" t="s">
        <v>211</v>
      </c>
      <c r="B66" s="202">
        <v>30000</v>
      </c>
      <c r="C66" s="202">
        <v>30320</v>
      </c>
      <c r="D66" s="99"/>
    </row>
    <row r="67" spans="1:4" ht="16.350000000000001" customHeight="1">
      <c r="A67" s="95" t="s">
        <v>212</v>
      </c>
      <c r="B67" s="202"/>
      <c r="C67" s="202"/>
      <c r="D67" s="99"/>
    </row>
    <row r="68" spans="1:4" s="92" customFormat="1" ht="16.350000000000001" customHeight="1">
      <c r="A68" s="94" t="s">
        <v>234</v>
      </c>
      <c r="B68" s="201">
        <f>SUM(B69:B72)</f>
        <v>235351</v>
      </c>
      <c r="C68" s="201">
        <f>SUM(C69:C72)</f>
        <v>324031</v>
      </c>
      <c r="D68" s="143">
        <f>(ROUND(B68/C68,4)-1)*100</f>
        <v>-27.37</v>
      </c>
    </row>
    <row r="69" spans="1:4" ht="16.350000000000001" customHeight="1">
      <c r="A69" s="95" t="s">
        <v>213</v>
      </c>
      <c r="B69" s="202">
        <v>235351</v>
      </c>
      <c r="C69" s="202">
        <v>324031</v>
      </c>
      <c r="D69" s="143">
        <f>(ROUND(B69/C69,4)-1)*100</f>
        <v>-27.37</v>
      </c>
    </row>
    <row r="70" spans="1:4" ht="16.350000000000001" customHeight="1">
      <c r="A70" s="95" t="s">
        <v>214</v>
      </c>
      <c r="B70" s="202"/>
      <c r="C70" s="202"/>
      <c r="D70" s="99"/>
    </row>
    <row r="71" spans="1:4" ht="16.350000000000001" customHeight="1">
      <c r="A71" s="95" t="s">
        <v>215</v>
      </c>
      <c r="B71" s="202"/>
      <c r="C71" s="202"/>
      <c r="D71" s="99"/>
    </row>
    <row r="72" spans="1:4" ht="16.350000000000001" customHeight="1">
      <c r="A72" s="95" t="s">
        <v>113</v>
      </c>
      <c r="B72" s="202"/>
      <c r="C72" s="202"/>
      <c r="D72" s="99"/>
    </row>
    <row r="73" spans="1:4" s="92" customFormat="1" ht="16.350000000000001" customHeight="1">
      <c r="A73" s="94" t="s">
        <v>235</v>
      </c>
      <c r="B73" s="201">
        <f>SUM(B74:B75)</f>
        <v>12000</v>
      </c>
      <c r="C73" s="201">
        <f>SUM(C74:C75)</f>
        <v>12000</v>
      </c>
      <c r="D73" s="143">
        <f>(ROUND(B73/C73,4)-1)*100</f>
        <v>0</v>
      </c>
    </row>
    <row r="74" spans="1:4" ht="16.350000000000001" customHeight="1">
      <c r="A74" s="95" t="s">
        <v>216</v>
      </c>
      <c r="B74" s="202">
        <v>12000</v>
      </c>
      <c r="C74" s="202">
        <v>12000</v>
      </c>
      <c r="D74" s="143">
        <f>(ROUND(B74/C74,4)-1)*100</f>
        <v>0</v>
      </c>
    </row>
    <row r="75" spans="1:4" ht="16.350000000000001" customHeight="1">
      <c r="A75" s="95" t="s">
        <v>217</v>
      </c>
      <c r="B75" s="202"/>
      <c r="C75" s="202"/>
      <c r="D75" s="99"/>
    </row>
    <row r="76" spans="1:4" s="92" customFormat="1" ht="16.350000000000001" customHeight="1">
      <c r="A76" s="94" t="s">
        <v>236</v>
      </c>
      <c r="B76" s="201">
        <f>SUM(B77:B80)</f>
        <v>58273</v>
      </c>
      <c r="C76" s="201">
        <f>SUM(C77:C80)</f>
        <v>72093</v>
      </c>
      <c r="D76" s="143">
        <f>(ROUND(B76/C76,4)-1)*100</f>
        <v>-19.170000000000002</v>
      </c>
    </row>
    <row r="77" spans="1:4" ht="16.350000000000001" customHeight="1">
      <c r="A77" s="95" t="s">
        <v>218</v>
      </c>
      <c r="B77" s="202"/>
      <c r="C77" s="202">
        <v>230</v>
      </c>
      <c r="D77" s="99"/>
    </row>
    <row r="78" spans="1:4" ht="16.350000000000001" customHeight="1">
      <c r="A78" s="95" t="s">
        <v>219</v>
      </c>
      <c r="B78" s="202">
        <v>50</v>
      </c>
      <c r="C78" s="202"/>
      <c r="D78" s="99"/>
    </row>
    <row r="79" spans="1:4" ht="16.350000000000001" customHeight="1">
      <c r="A79" s="95" t="s">
        <v>220</v>
      </c>
      <c r="B79" s="202">
        <v>7931</v>
      </c>
      <c r="C79" s="202">
        <v>1297</v>
      </c>
      <c r="D79" s="99"/>
    </row>
    <row r="80" spans="1:4" ht="17.45" customHeight="1">
      <c r="A80" s="95" t="s">
        <v>153</v>
      </c>
      <c r="B80" s="202">
        <f>29812+20480</f>
        <v>50292</v>
      </c>
      <c r="C80" s="202">
        <f>70415+151</f>
        <v>70566</v>
      </c>
      <c r="D80" s="143">
        <f>(ROUND(B80/C80,4)-1)*100</f>
        <v>-28.73</v>
      </c>
    </row>
    <row r="81" spans="1:4" ht="24" customHeight="1">
      <c r="A81" s="103"/>
      <c r="B81" s="101"/>
      <c r="C81" s="101"/>
      <c r="D81" s="101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B64"/>
  <sheetViews>
    <sheetView topLeftCell="A7" workbookViewId="0">
      <selection activeCell="A21" sqref="A21"/>
    </sheetView>
  </sheetViews>
  <sheetFormatPr defaultRowHeight="14.25"/>
  <cols>
    <col min="1" max="1" width="64.25" customWidth="1"/>
    <col min="2" max="2" width="22.875" customWidth="1"/>
  </cols>
  <sheetData>
    <row r="1" spans="1:2">
      <c r="A1" s="19" t="s">
        <v>773</v>
      </c>
    </row>
    <row r="2" spans="1:2" ht="29.1" customHeight="1">
      <c r="A2" s="221" t="s">
        <v>856</v>
      </c>
      <c r="B2" s="221"/>
    </row>
    <row r="3" spans="1:2">
      <c r="A3" s="70"/>
      <c r="B3" s="40" t="s">
        <v>56</v>
      </c>
    </row>
    <row r="4" spans="1:2" ht="19.7" customHeight="1">
      <c r="A4" s="76" t="s">
        <v>55</v>
      </c>
      <c r="B4" s="53" t="s">
        <v>279</v>
      </c>
    </row>
    <row r="5" spans="1:2" ht="16.7" customHeight="1">
      <c r="A5" s="74" t="s">
        <v>120</v>
      </c>
      <c r="B5" s="69"/>
    </row>
    <row r="6" spans="1:2" ht="16.7" customHeight="1">
      <c r="A6" s="68" t="s">
        <v>282</v>
      </c>
      <c r="B6" s="69"/>
    </row>
    <row r="7" spans="1:2" ht="16.7" customHeight="1">
      <c r="A7" s="68" t="s">
        <v>283</v>
      </c>
      <c r="B7" s="69"/>
    </row>
    <row r="8" spans="1:2" ht="16.7" customHeight="1">
      <c r="A8" s="68" t="s">
        <v>284</v>
      </c>
      <c r="B8" s="69"/>
    </row>
    <row r="9" spans="1:2" ht="16.7" customHeight="1">
      <c r="A9" s="74" t="s">
        <v>121</v>
      </c>
      <c r="B9" s="69"/>
    </row>
    <row r="10" spans="1:2" ht="16.7" customHeight="1">
      <c r="A10" s="68" t="s">
        <v>285</v>
      </c>
      <c r="B10" s="69"/>
    </row>
    <row r="11" spans="1:2" ht="16.7" customHeight="1">
      <c r="A11" s="68" t="s">
        <v>286</v>
      </c>
      <c r="B11" s="69"/>
    </row>
    <row r="12" spans="1:2" ht="16.7" customHeight="1">
      <c r="A12" s="68" t="s">
        <v>287</v>
      </c>
      <c r="B12" s="69"/>
    </row>
    <row r="13" spans="1:2" ht="16.7" customHeight="1">
      <c r="A13" s="68" t="s">
        <v>288</v>
      </c>
      <c r="B13" s="69"/>
    </row>
    <row r="14" spans="1:2" ht="16.7" customHeight="1">
      <c r="A14" s="68" t="s">
        <v>289</v>
      </c>
      <c r="B14" s="69"/>
    </row>
    <row r="15" spans="1:2" ht="16.7" customHeight="1">
      <c r="A15" s="68" t="s">
        <v>290</v>
      </c>
      <c r="B15" s="69"/>
    </row>
    <row r="16" spans="1:2" ht="16.7" customHeight="1">
      <c r="A16" s="68" t="s">
        <v>291</v>
      </c>
      <c r="B16" s="69"/>
    </row>
    <row r="17" spans="1:2" ht="16.7" customHeight="1">
      <c r="A17" s="68" t="s">
        <v>292</v>
      </c>
      <c r="B17" s="69"/>
    </row>
    <row r="18" spans="1:2" ht="16.7" customHeight="1">
      <c r="A18" s="68" t="s">
        <v>293</v>
      </c>
      <c r="B18" s="69"/>
    </row>
    <row r="19" spans="1:2" ht="16.7" customHeight="1">
      <c r="A19" s="107" t="s">
        <v>294</v>
      </c>
      <c r="B19" s="69"/>
    </row>
    <row r="20" spans="1:2" ht="16.7" customHeight="1">
      <c r="A20" s="68" t="s">
        <v>295</v>
      </c>
      <c r="B20" s="69"/>
    </row>
    <row r="21" spans="1:2" ht="16.7" customHeight="1">
      <c r="A21" s="68" t="s">
        <v>296</v>
      </c>
      <c r="B21" s="69"/>
    </row>
    <row r="22" spans="1:2" ht="16.7" customHeight="1">
      <c r="A22" s="68" t="s">
        <v>297</v>
      </c>
      <c r="B22" s="69"/>
    </row>
    <row r="23" spans="1:2" ht="16.7" customHeight="1">
      <c r="A23" s="68" t="s">
        <v>298</v>
      </c>
      <c r="B23" s="69"/>
    </row>
    <row r="24" spans="1:2" ht="16.7" customHeight="1">
      <c r="A24" s="68" t="s">
        <v>299</v>
      </c>
      <c r="B24" s="69"/>
    </row>
    <row r="25" spans="1:2" ht="16.7" customHeight="1">
      <c r="A25" s="74" t="s">
        <v>122</v>
      </c>
      <c r="B25" s="69"/>
    </row>
    <row r="26" spans="1:2" ht="16.7" customHeight="1">
      <c r="A26" s="68" t="s">
        <v>141</v>
      </c>
      <c r="B26" s="69"/>
    </row>
    <row r="27" spans="1:2" ht="16.7" customHeight="1">
      <c r="A27" s="68" t="s">
        <v>307</v>
      </c>
      <c r="B27" s="69"/>
    </row>
    <row r="28" spans="1:2" ht="16.7" customHeight="1">
      <c r="A28" s="68" t="s">
        <v>123</v>
      </c>
      <c r="B28" s="69"/>
    </row>
    <row r="29" spans="1:2" ht="16.7" customHeight="1">
      <c r="A29" s="68" t="s">
        <v>148</v>
      </c>
      <c r="B29" s="69"/>
    </row>
    <row r="30" spans="1:2" ht="16.7" customHeight="1">
      <c r="A30" s="68" t="s">
        <v>124</v>
      </c>
      <c r="B30" s="69"/>
    </row>
    <row r="31" spans="1:2" ht="16.7" customHeight="1">
      <c r="A31" s="68" t="s">
        <v>148</v>
      </c>
      <c r="B31" s="69"/>
    </row>
    <row r="32" spans="1:2" ht="16.7" customHeight="1">
      <c r="A32" s="68" t="s">
        <v>142</v>
      </c>
      <c r="B32" s="69"/>
    </row>
    <row r="33" spans="1:2" ht="16.7" customHeight="1">
      <c r="A33" s="68" t="s">
        <v>148</v>
      </c>
      <c r="B33" s="69"/>
    </row>
    <row r="34" spans="1:2" ht="16.7" customHeight="1">
      <c r="A34" s="68" t="s">
        <v>125</v>
      </c>
      <c r="B34" s="69"/>
    </row>
    <row r="35" spans="1:2" ht="16.7" customHeight="1">
      <c r="A35" s="68" t="s">
        <v>148</v>
      </c>
      <c r="B35" s="69"/>
    </row>
    <row r="36" spans="1:2" ht="16.7" customHeight="1">
      <c r="A36" s="68" t="s">
        <v>126</v>
      </c>
      <c r="B36" s="69"/>
    </row>
    <row r="37" spans="1:2" ht="16.7" customHeight="1">
      <c r="A37" s="68" t="s">
        <v>148</v>
      </c>
      <c r="B37" s="69"/>
    </row>
    <row r="38" spans="1:2" ht="16.7" customHeight="1">
      <c r="A38" s="68" t="s">
        <v>127</v>
      </c>
      <c r="B38" s="69"/>
    </row>
    <row r="39" spans="1:2" ht="16.7" customHeight="1">
      <c r="A39" s="68" t="s">
        <v>148</v>
      </c>
      <c r="B39" s="69"/>
    </row>
    <row r="40" spans="1:2" ht="16.7" customHeight="1">
      <c r="A40" s="68" t="s">
        <v>128</v>
      </c>
      <c r="B40" s="69"/>
    </row>
    <row r="41" spans="1:2" ht="16.7" customHeight="1">
      <c r="A41" s="68" t="s">
        <v>148</v>
      </c>
      <c r="B41" s="69"/>
    </row>
    <row r="42" spans="1:2" ht="16.7" customHeight="1">
      <c r="A42" s="68" t="s">
        <v>129</v>
      </c>
      <c r="B42" s="69"/>
    </row>
    <row r="43" spans="1:2" ht="16.7" customHeight="1">
      <c r="A43" s="68" t="s">
        <v>148</v>
      </c>
      <c r="B43" s="69"/>
    </row>
    <row r="44" spans="1:2" ht="16.7" customHeight="1">
      <c r="A44" s="68" t="s">
        <v>130</v>
      </c>
      <c r="B44" s="69"/>
    </row>
    <row r="45" spans="1:2" ht="16.7" customHeight="1">
      <c r="A45" s="68" t="s">
        <v>148</v>
      </c>
      <c r="B45" s="69"/>
    </row>
    <row r="46" spans="1:2" ht="16.7" customHeight="1">
      <c r="A46" s="68" t="s">
        <v>131</v>
      </c>
      <c r="B46" s="69"/>
    </row>
    <row r="47" spans="1:2" ht="16.7" customHeight="1">
      <c r="A47" s="68" t="s">
        <v>147</v>
      </c>
      <c r="B47" s="69"/>
    </row>
    <row r="48" spans="1:2" ht="16.7" customHeight="1">
      <c r="A48" s="68" t="s">
        <v>132</v>
      </c>
      <c r="B48" s="69"/>
    </row>
    <row r="49" spans="1:2" ht="16.7" customHeight="1">
      <c r="A49" s="68" t="s">
        <v>147</v>
      </c>
      <c r="B49" s="69"/>
    </row>
    <row r="50" spans="1:2" ht="16.7" customHeight="1">
      <c r="A50" s="68" t="s">
        <v>133</v>
      </c>
      <c r="B50" s="69"/>
    </row>
    <row r="51" spans="1:2" ht="16.7" customHeight="1">
      <c r="A51" s="68" t="s">
        <v>147</v>
      </c>
      <c r="B51" s="69"/>
    </row>
    <row r="52" spans="1:2" ht="16.7" customHeight="1">
      <c r="A52" s="68" t="s">
        <v>134</v>
      </c>
      <c r="B52" s="69"/>
    </row>
    <row r="53" spans="1:2" ht="16.7" customHeight="1">
      <c r="A53" s="68" t="s">
        <v>147</v>
      </c>
      <c r="B53" s="69"/>
    </row>
    <row r="54" spans="1:2" ht="16.7" customHeight="1">
      <c r="A54" s="68" t="s">
        <v>135</v>
      </c>
      <c r="B54" s="69"/>
    </row>
    <row r="55" spans="1:2" ht="16.7" customHeight="1">
      <c r="A55" s="68" t="s">
        <v>147</v>
      </c>
      <c r="B55" s="69"/>
    </row>
    <row r="56" spans="1:2" ht="16.7" customHeight="1">
      <c r="A56" s="68" t="s">
        <v>136</v>
      </c>
      <c r="B56" s="69"/>
    </row>
    <row r="57" spans="1:2" ht="16.7" customHeight="1">
      <c r="A57" s="68" t="s">
        <v>147</v>
      </c>
      <c r="B57" s="69"/>
    </row>
    <row r="58" spans="1:2" ht="16.7" customHeight="1">
      <c r="A58" s="68" t="s">
        <v>137</v>
      </c>
      <c r="B58" s="69"/>
    </row>
    <row r="59" spans="1:2" ht="16.7" customHeight="1">
      <c r="A59" s="68" t="s">
        <v>147</v>
      </c>
      <c r="B59" s="69"/>
    </row>
    <row r="60" spans="1:2" ht="16.7" customHeight="1">
      <c r="A60" s="68" t="s">
        <v>138</v>
      </c>
      <c r="B60" s="69"/>
    </row>
    <row r="61" spans="1:2" ht="16.7" customHeight="1">
      <c r="A61" s="68" t="s">
        <v>253</v>
      </c>
      <c r="B61" s="69"/>
    </row>
    <row r="62" spans="1:2" ht="16.7" customHeight="1">
      <c r="A62" s="68" t="s">
        <v>139</v>
      </c>
      <c r="B62" s="69"/>
    </row>
    <row r="63" spans="1:2" ht="18.75" customHeight="1">
      <c r="A63" s="60" t="s">
        <v>254</v>
      </c>
      <c r="B63" s="60"/>
    </row>
    <row r="64" spans="1:2" ht="53.45" customHeight="1">
      <c r="A64" s="222" t="s">
        <v>774</v>
      </c>
      <c r="B64" s="222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XFD17"/>
  <sheetViews>
    <sheetView showZeros="0" workbookViewId="0">
      <selection activeCell="A3" sqref="A3"/>
    </sheetView>
  </sheetViews>
  <sheetFormatPr defaultRowHeight="14.25"/>
  <cols>
    <col min="1" max="1" width="19.875" style="88" bestFit="1" customWidth="1"/>
    <col min="2" max="2" width="17.25" style="88" customWidth="1"/>
    <col min="3" max="3" width="14.125" style="88" customWidth="1"/>
    <col min="4" max="4" width="17.375" style="88" bestFit="1" customWidth="1"/>
    <col min="5" max="5" width="15" style="88" bestFit="1" customWidth="1"/>
    <col min="6" max="16384" width="9" style="88"/>
  </cols>
  <sheetData>
    <row r="1" spans="1:16384">
      <c r="A1" s="19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ht="54.75" customHeight="1">
      <c r="A2" s="221" t="s">
        <v>857</v>
      </c>
      <c r="B2" s="221"/>
      <c r="C2" s="221"/>
      <c r="D2" s="221"/>
      <c r="E2" s="221"/>
    </row>
    <row r="3" spans="1:16384" ht="21" customHeight="1">
      <c r="A3" s="113"/>
      <c r="B3" s="113"/>
      <c r="C3" s="113"/>
      <c r="D3" s="113"/>
      <c r="E3" s="118" t="s">
        <v>53</v>
      </c>
    </row>
    <row r="4" spans="1:16384" ht="24" customHeight="1">
      <c r="A4" s="114" t="s">
        <v>303</v>
      </c>
      <c r="B4" s="114" t="s">
        <v>155</v>
      </c>
      <c r="C4" s="114" t="s">
        <v>304</v>
      </c>
      <c r="D4" s="114" t="s">
        <v>305</v>
      </c>
      <c r="E4" s="114" t="s">
        <v>306</v>
      </c>
    </row>
    <row r="5" spans="1:16384" ht="24" customHeight="1">
      <c r="A5" s="115" t="s">
        <v>308</v>
      </c>
      <c r="B5" s="115"/>
      <c r="C5" s="116"/>
      <c r="D5" s="116"/>
      <c r="E5" s="116"/>
    </row>
    <row r="6" spans="1:16384" ht="24" customHeight="1">
      <c r="A6" s="115" t="s">
        <v>308</v>
      </c>
      <c r="B6" s="115"/>
      <c r="C6" s="116"/>
      <c r="D6" s="116"/>
      <c r="E6" s="116"/>
    </row>
    <row r="7" spans="1:16384" ht="24" customHeight="1">
      <c r="A7" s="115" t="s">
        <v>308</v>
      </c>
      <c r="B7" s="115"/>
      <c r="C7" s="116"/>
      <c r="D7" s="116"/>
      <c r="E7" s="116"/>
    </row>
    <row r="8" spans="1:16384" ht="24" customHeight="1">
      <c r="A8" s="115" t="s">
        <v>308</v>
      </c>
      <c r="B8" s="115"/>
      <c r="C8" s="116"/>
      <c r="D8" s="116"/>
      <c r="E8" s="116"/>
    </row>
    <row r="9" spans="1:16384" ht="24" customHeight="1">
      <c r="A9" s="115" t="s">
        <v>308</v>
      </c>
      <c r="B9" s="115"/>
      <c r="C9" s="116"/>
      <c r="D9" s="116"/>
      <c r="E9" s="116"/>
    </row>
    <row r="10" spans="1:16384" ht="24" customHeight="1">
      <c r="A10" s="115" t="s">
        <v>308</v>
      </c>
      <c r="B10" s="115"/>
      <c r="C10" s="116"/>
      <c r="D10" s="116"/>
      <c r="E10" s="116"/>
    </row>
    <row r="11" spans="1:16384" ht="24" customHeight="1">
      <c r="A11" s="115" t="s">
        <v>308</v>
      </c>
      <c r="B11" s="115"/>
      <c r="C11" s="116"/>
      <c r="D11" s="116"/>
      <c r="E11" s="116"/>
    </row>
    <row r="12" spans="1:16384" ht="24" customHeight="1">
      <c r="A12" s="115" t="s">
        <v>308</v>
      </c>
      <c r="B12" s="115"/>
      <c r="C12" s="116"/>
      <c r="D12" s="116"/>
      <c r="E12" s="116"/>
    </row>
    <row r="13" spans="1:16384" ht="24" customHeight="1">
      <c r="A13" s="115" t="s">
        <v>308</v>
      </c>
      <c r="B13" s="115"/>
      <c r="C13" s="116"/>
      <c r="D13" s="116"/>
      <c r="E13" s="116"/>
    </row>
    <row r="14" spans="1:16384" ht="24" customHeight="1">
      <c r="A14" s="115" t="s">
        <v>308</v>
      </c>
      <c r="B14" s="115"/>
      <c r="C14" s="116"/>
      <c r="D14" s="116"/>
      <c r="E14" s="116"/>
    </row>
    <row r="15" spans="1:16384" ht="24" customHeight="1">
      <c r="A15" s="115" t="s">
        <v>309</v>
      </c>
      <c r="B15" s="115"/>
      <c r="C15" s="116"/>
      <c r="D15" s="116"/>
      <c r="E15" s="116"/>
    </row>
    <row r="16" spans="1:16384" ht="24" customHeight="1">
      <c r="A16" s="114" t="s">
        <v>223</v>
      </c>
      <c r="B16" s="114"/>
      <c r="C16" s="117"/>
      <c r="D16" s="117"/>
      <c r="E16" s="117"/>
    </row>
    <row r="17" spans="1:5" ht="48.75" customHeight="1">
      <c r="A17" s="223" t="s">
        <v>775</v>
      </c>
      <c r="B17" s="223"/>
      <c r="C17" s="224"/>
      <c r="D17" s="224"/>
      <c r="E17" s="224"/>
    </row>
  </sheetData>
  <mergeCells count="2">
    <mergeCell ref="A2:E2"/>
    <mergeCell ref="A17:E17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7" workbookViewId="0">
      <selection activeCell="F14" sqref="F14"/>
    </sheetView>
  </sheetViews>
  <sheetFormatPr defaultRowHeight="14.25"/>
  <cols>
    <col min="1" max="1" width="33.375" customWidth="1"/>
    <col min="2" max="2" width="14.875" customWidth="1"/>
    <col min="3" max="3" width="16.25" customWidth="1"/>
    <col min="4" max="4" width="16.875" customWidth="1"/>
  </cols>
  <sheetData>
    <row r="1" spans="1:4">
      <c r="A1" s="164" t="s">
        <v>747</v>
      </c>
      <c r="B1" s="165"/>
      <c r="C1" s="165"/>
      <c r="D1" s="165"/>
    </row>
    <row r="2" spans="1:4" ht="20.25">
      <c r="A2" s="225" t="s">
        <v>858</v>
      </c>
      <c r="B2" s="225"/>
      <c r="C2" s="225"/>
      <c r="D2" s="225"/>
    </row>
    <row r="3" spans="1:4">
      <c r="A3" s="226" t="s">
        <v>53</v>
      </c>
      <c r="B3" s="226"/>
      <c r="C3" s="226"/>
      <c r="D3" s="226"/>
    </row>
    <row r="4" spans="1:4" ht="40.5">
      <c r="A4" s="166" t="s">
        <v>55</v>
      </c>
      <c r="B4" s="167" t="s">
        <v>748</v>
      </c>
      <c r="C4" s="168" t="s">
        <v>749</v>
      </c>
      <c r="D4" s="146" t="s">
        <v>750</v>
      </c>
    </row>
    <row r="5" spans="1:4" ht="33" customHeight="1">
      <c r="A5" s="169" t="s">
        <v>751</v>
      </c>
      <c r="B5" s="169">
        <f>SUM(B6:B8)</f>
        <v>2661</v>
      </c>
      <c r="C5" s="169">
        <f>SUM(C6:C8)</f>
        <v>3042</v>
      </c>
      <c r="D5" s="179">
        <f>B5/C5*100</f>
        <v>87.48</v>
      </c>
    </row>
    <row r="6" spans="1:4" ht="33" customHeight="1">
      <c r="A6" s="170" t="s">
        <v>752</v>
      </c>
      <c r="B6" s="169">
        <v>173</v>
      </c>
      <c r="C6" s="169">
        <v>212</v>
      </c>
      <c r="D6" s="179">
        <f>B6/C6*100</f>
        <v>81.599999999999994</v>
      </c>
    </row>
    <row r="7" spans="1:4" ht="33" customHeight="1">
      <c r="A7" s="170" t="s">
        <v>753</v>
      </c>
      <c r="B7" s="169">
        <v>322</v>
      </c>
      <c r="C7" s="169">
        <v>569</v>
      </c>
      <c r="D7" s="179">
        <f t="shared" ref="D7:D10" si="0">B7/C7*100</f>
        <v>56.59</v>
      </c>
    </row>
    <row r="8" spans="1:4" ht="33" customHeight="1">
      <c r="A8" s="170" t="s">
        <v>754</v>
      </c>
      <c r="B8" s="176">
        <v>2166</v>
      </c>
      <c r="C8" s="169">
        <v>2261</v>
      </c>
      <c r="D8" s="179">
        <f t="shared" si="0"/>
        <v>95.8</v>
      </c>
    </row>
    <row r="9" spans="1:4" ht="33" customHeight="1">
      <c r="A9" s="171" t="s">
        <v>755</v>
      </c>
      <c r="B9" s="177">
        <v>1323</v>
      </c>
      <c r="C9" s="177">
        <v>1792</v>
      </c>
      <c r="D9" s="179">
        <f t="shared" si="0"/>
        <v>73.83</v>
      </c>
    </row>
    <row r="10" spans="1:4" ht="33" customHeight="1">
      <c r="A10" s="171" t="s">
        <v>756</v>
      </c>
      <c r="B10" s="177">
        <v>843</v>
      </c>
      <c r="C10" s="177">
        <v>469</v>
      </c>
      <c r="D10" s="179">
        <f t="shared" si="0"/>
        <v>179.74</v>
      </c>
    </row>
    <row r="11" spans="1:4">
      <c r="A11" s="172"/>
      <c r="B11" s="172"/>
      <c r="C11" s="172"/>
      <c r="D11" s="172"/>
    </row>
    <row r="12" spans="1:4" ht="16.5">
      <c r="A12" s="173" t="s">
        <v>757</v>
      </c>
      <c r="B12" s="172"/>
      <c r="C12" s="172"/>
      <c r="D12" s="172"/>
    </row>
    <row r="13" spans="1:4" ht="99" customHeight="1">
      <c r="A13" s="227" t="s">
        <v>758</v>
      </c>
      <c r="B13" s="227"/>
      <c r="C13" s="227"/>
      <c r="D13" s="227"/>
    </row>
    <row r="14" spans="1:4" ht="88.5" customHeight="1">
      <c r="A14" s="227" t="s">
        <v>860</v>
      </c>
      <c r="B14" s="227"/>
      <c r="C14" s="227"/>
      <c r="D14" s="227"/>
    </row>
    <row r="15" spans="1:4">
      <c r="A15" s="174"/>
      <c r="B15" s="174"/>
      <c r="C15" s="174"/>
      <c r="D15" s="174"/>
    </row>
    <row r="16" spans="1:4">
      <c r="A16" s="175"/>
      <c r="B16" s="175"/>
      <c r="C16" s="175"/>
      <c r="D16" s="175"/>
    </row>
    <row r="17" spans="1:4">
      <c r="A17" s="175"/>
      <c r="B17" s="175"/>
      <c r="C17" s="175"/>
      <c r="D17" s="175"/>
    </row>
    <row r="18" spans="1:4">
      <c r="A18" s="172"/>
      <c r="B18" s="172"/>
      <c r="C18" s="172"/>
      <c r="D18" s="172"/>
    </row>
  </sheetData>
  <mergeCells count="4">
    <mergeCell ref="A2:D2"/>
    <mergeCell ref="A3:D3"/>
    <mergeCell ref="A13:D13"/>
    <mergeCell ref="A14:D14"/>
  </mergeCells>
  <phoneticPr fontId="3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0" workbookViewId="0">
      <selection activeCell="B23" sqref="B23:C23"/>
    </sheetView>
  </sheetViews>
  <sheetFormatPr defaultRowHeight="14.25"/>
  <cols>
    <col min="1" max="1" width="41.625" bestFit="1" customWidth="1"/>
    <col min="2" max="2" width="14.625" customWidth="1"/>
    <col min="3" max="3" width="12.75" customWidth="1"/>
    <col min="4" max="4" width="15.625" customWidth="1"/>
  </cols>
  <sheetData>
    <row r="1" spans="1:6" ht="22.15" customHeight="1">
      <c r="A1" s="19" t="s">
        <v>776</v>
      </c>
    </row>
    <row r="2" spans="1:6" ht="27" customHeight="1">
      <c r="A2" s="228" t="s">
        <v>859</v>
      </c>
      <c r="B2" s="228"/>
      <c r="C2" s="228"/>
      <c r="D2" s="228"/>
    </row>
    <row r="3" spans="1:6">
      <c r="A3" s="38"/>
      <c r="B3" s="39"/>
      <c r="C3" s="39"/>
      <c r="D3" s="40" t="s">
        <v>56</v>
      </c>
    </row>
    <row r="4" spans="1:6" ht="46.15" customHeight="1">
      <c r="A4" s="53" t="s">
        <v>77</v>
      </c>
      <c r="B4" s="72" t="s">
        <v>31</v>
      </c>
      <c r="C4" s="102" t="s">
        <v>225</v>
      </c>
      <c r="D4" s="102" t="s">
        <v>229</v>
      </c>
    </row>
    <row r="5" spans="1:6" ht="18.75" customHeight="1">
      <c r="A5" s="104" t="s">
        <v>255</v>
      </c>
      <c r="B5" s="72"/>
      <c r="C5" s="102"/>
      <c r="D5" s="102"/>
    </row>
    <row r="6" spans="1:6" ht="18.75" customHeight="1">
      <c r="A6" s="55" t="s">
        <v>261</v>
      </c>
      <c r="B6" s="72"/>
      <c r="C6" s="102"/>
      <c r="D6" s="102"/>
    </row>
    <row r="7" spans="1:6" ht="17.45" customHeight="1">
      <c r="A7" s="86" t="s">
        <v>262</v>
      </c>
      <c r="B7" s="51"/>
      <c r="C7" s="51"/>
      <c r="D7" s="51"/>
    </row>
    <row r="8" spans="1:6" ht="17.45" customHeight="1">
      <c r="A8" s="86" t="s">
        <v>263</v>
      </c>
      <c r="B8" s="51"/>
      <c r="C8" s="51"/>
      <c r="D8" s="51"/>
    </row>
    <row r="9" spans="1:6" ht="17.45" customHeight="1">
      <c r="A9" s="86" t="s">
        <v>264</v>
      </c>
      <c r="B9" s="119">
        <v>40000</v>
      </c>
      <c r="C9" s="119">
        <v>47500</v>
      </c>
      <c r="D9" s="143">
        <f>(ROUND(B9/C9,4)-1)*100</f>
        <v>-15.79</v>
      </c>
      <c r="F9" s="45"/>
    </row>
    <row r="10" spans="1:6" ht="17.45" customHeight="1">
      <c r="A10" s="86" t="s">
        <v>265</v>
      </c>
      <c r="B10" s="119">
        <v>4000</v>
      </c>
      <c r="C10" s="119">
        <v>4500</v>
      </c>
      <c r="D10" s="143">
        <f>(ROUND(B10/C10,4)-1)*100</f>
        <v>-11.11</v>
      </c>
    </row>
    <row r="11" spans="1:6" ht="17.45" customHeight="1">
      <c r="A11" s="86" t="s">
        <v>266</v>
      </c>
      <c r="B11" s="119">
        <v>724000</v>
      </c>
      <c r="C11" s="119">
        <v>860000</v>
      </c>
      <c r="D11" s="143">
        <f>(ROUND(B11/C11,4)-1)*100</f>
        <v>-15.81</v>
      </c>
    </row>
    <row r="12" spans="1:6" ht="17.45" customHeight="1">
      <c r="A12" s="86" t="s">
        <v>267</v>
      </c>
      <c r="B12" s="119"/>
      <c r="C12" s="119"/>
      <c r="D12" s="52"/>
    </row>
    <row r="13" spans="1:6" ht="17.45" customHeight="1">
      <c r="A13" s="86" t="s">
        <v>268</v>
      </c>
      <c r="B13" s="119">
        <v>5400</v>
      </c>
      <c r="C13" s="119">
        <v>5700</v>
      </c>
      <c r="D13" s="143">
        <f>(ROUND(B13/C13,4)-1)*100</f>
        <v>-5.26</v>
      </c>
    </row>
    <row r="14" spans="1:6" ht="17.45" customHeight="1">
      <c r="A14" s="86" t="s">
        <v>269</v>
      </c>
      <c r="B14" s="119">
        <v>20000</v>
      </c>
      <c r="C14" s="119">
        <v>20000</v>
      </c>
      <c r="D14" s="143">
        <f>(ROUND(B14/C14,4)-1)*100</f>
        <v>0</v>
      </c>
    </row>
    <row r="15" spans="1:6" ht="17.45" customHeight="1">
      <c r="A15" s="86" t="s">
        <v>270</v>
      </c>
      <c r="B15" s="119"/>
      <c r="C15" s="119"/>
      <c r="D15" s="52"/>
    </row>
    <row r="16" spans="1:6" ht="17.45" customHeight="1">
      <c r="A16" s="86" t="s">
        <v>271</v>
      </c>
      <c r="B16" s="119"/>
      <c r="C16" s="119"/>
      <c r="D16" s="52"/>
    </row>
    <row r="17" spans="1:4" ht="17.45" customHeight="1">
      <c r="A17" s="86" t="s">
        <v>272</v>
      </c>
      <c r="B17" s="119">
        <v>8500</v>
      </c>
      <c r="C17" s="119">
        <v>9200</v>
      </c>
      <c r="D17" s="143">
        <f>(ROUND(B17/C17,4)-1)*100</f>
        <v>-7.61</v>
      </c>
    </row>
    <row r="18" spans="1:4" ht="17.45" customHeight="1">
      <c r="A18" s="86" t="s">
        <v>273</v>
      </c>
      <c r="B18" s="52"/>
      <c r="C18" s="52"/>
      <c r="D18" s="52"/>
    </row>
    <row r="19" spans="1:4" ht="17.45" customHeight="1">
      <c r="A19" s="86" t="s">
        <v>274</v>
      </c>
      <c r="B19" s="52"/>
      <c r="C19" s="52"/>
      <c r="D19" s="52"/>
    </row>
    <row r="20" spans="1:4" ht="17.45" customHeight="1">
      <c r="A20" s="53" t="s">
        <v>300</v>
      </c>
      <c r="B20" s="119">
        <f>SUBTOTAL(9,B6:B19)</f>
        <v>801900</v>
      </c>
      <c r="C20" s="119">
        <f>SUBTOTAL(9,C6:C19)</f>
        <v>946900</v>
      </c>
      <c r="D20" s="143">
        <f>(ROUND(B20/C20,4)-1)*100</f>
        <v>-15.31</v>
      </c>
    </row>
    <row r="21" spans="1:4" ht="17.45" customHeight="1">
      <c r="A21" s="54" t="s">
        <v>57</v>
      </c>
      <c r="B21" s="52"/>
      <c r="C21" s="52"/>
      <c r="D21" s="52"/>
    </row>
    <row r="22" spans="1:4" ht="17.45" customHeight="1">
      <c r="A22" s="54" t="s">
        <v>58</v>
      </c>
      <c r="B22" s="52">
        <f>SUM(B23:B27)</f>
        <v>767</v>
      </c>
      <c r="C22" s="119">
        <f>SUM(C23:C27)</f>
        <v>11188</v>
      </c>
      <c r="D22" s="182">
        <f>(ROUND(B22/C22,4)-1)*100</f>
        <v>-93.14</v>
      </c>
    </row>
    <row r="23" spans="1:4" ht="17.45" customHeight="1">
      <c r="A23" s="55" t="s">
        <v>256</v>
      </c>
      <c r="B23" s="52">
        <v>767</v>
      </c>
      <c r="C23" s="119">
        <v>11188</v>
      </c>
      <c r="D23" s="182">
        <f>(ROUND(B23/C23,4)-1)*100</f>
        <v>-93.14</v>
      </c>
    </row>
    <row r="24" spans="1:4" ht="17.45" customHeight="1">
      <c r="A24" s="55" t="s">
        <v>257</v>
      </c>
      <c r="B24" s="52"/>
      <c r="C24" s="52"/>
      <c r="D24" s="52"/>
    </row>
    <row r="25" spans="1:4" ht="17.45" customHeight="1">
      <c r="A25" s="55" t="s">
        <v>258</v>
      </c>
      <c r="B25" s="52"/>
      <c r="C25" s="52"/>
      <c r="D25" s="52"/>
    </row>
    <row r="26" spans="1:4" ht="17.45" customHeight="1">
      <c r="A26" s="52" t="s">
        <v>259</v>
      </c>
      <c r="B26" s="52"/>
      <c r="C26" s="52"/>
      <c r="D26" s="52"/>
    </row>
    <row r="27" spans="1:4" ht="17.45" customHeight="1">
      <c r="A27" s="52" t="s">
        <v>260</v>
      </c>
      <c r="B27" s="52"/>
      <c r="C27" s="52"/>
      <c r="D27" s="52"/>
    </row>
    <row r="28" spans="1:4" ht="17.45" customHeight="1">
      <c r="A28" s="53" t="s">
        <v>6</v>
      </c>
      <c r="B28" s="119">
        <f>B20+B21+B22</f>
        <v>802667</v>
      </c>
      <c r="C28" s="119">
        <f>C20+C21+C22</f>
        <v>958088</v>
      </c>
      <c r="D28" s="143">
        <f>(ROUND(B28/C28,4)-1)*100</f>
        <v>-16.22</v>
      </c>
    </row>
  </sheetData>
  <mergeCells count="1">
    <mergeCell ref="A2:D2"/>
  </mergeCells>
  <phoneticPr fontId="96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7" workbookViewId="0">
      <selection activeCell="F30" sqref="F30"/>
    </sheetView>
  </sheetViews>
  <sheetFormatPr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9" t="s">
        <v>310</v>
      </c>
    </row>
    <row r="2" spans="1:4" ht="23.45" customHeight="1">
      <c r="A2" s="228" t="s">
        <v>715</v>
      </c>
      <c r="B2" s="228"/>
      <c r="C2" s="228"/>
      <c r="D2" s="228"/>
    </row>
    <row r="3" spans="1:4" ht="17.45" customHeight="1">
      <c r="A3" s="36"/>
      <c r="B3" s="39"/>
      <c r="C3" s="39"/>
      <c r="D3" s="66" t="s">
        <v>56</v>
      </c>
    </row>
    <row r="4" spans="1:4" ht="40.5">
      <c r="A4" s="53" t="s">
        <v>77</v>
      </c>
      <c r="B4" s="81" t="s">
        <v>111</v>
      </c>
      <c r="C4" s="89" t="s">
        <v>225</v>
      </c>
      <c r="D4" s="100" t="s">
        <v>229</v>
      </c>
    </row>
    <row r="5" spans="1:4" ht="19.149999999999999" customHeight="1">
      <c r="A5" s="120" t="s">
        <v>328</v>
      </c>
      <c r="B5" s="203">
        <f>SUBTOTAL(9,B6:B20)</f>
        <v>644500</v>
      </c>
      <c r="C5" s="203">
        <f>SUBTOTAL(9,C6:C20)</f>
        <v>941200</v>
      </c>
      <c r="D5" s="143">
        <f>(ROUND(B5/C5,4)-1)*100</f>
        <v>-31.52</v>
      </c>
    </row>
    <row r="6" spans="1:4" ht="19.149999999999999" customHeight="1">
      <c r="A6" s="120" t="s">
        <v>329</v>
      </c>
      <c r="B6" s="203">
        <f>SUBTOTAL(9,B7:B14)</f>
        <v>511100</v>
      </c>
      <c r="C6" s="203">
        <f>SUBTOTAL(9,C7:C14)</f>
        <v>804500</v>
      </c>
      <c r="D6" s="143">
        <f>(ROUND(B6/C6,4)-1)*100</f>
        <v>-36.47</v>
      </c>
    </row>
    <row r="7" spans="1:4" ht="19.149999999999999" customHeight="1">
      <c r="A7" s="120" t="s">
        <v>330</v>
      </c>
      <c r="B7" s="203">
        <v>300000</v>
      </c>
      <c r="C7" s="203">
        <v>440000</v>
      </c>
      <c r="D7" s="178">
        <f t="shared" ref="D7:D14" si="0">(ROUND(B7/C7,4)-1)*100</f>
        <v>-31.82</v>
      </c>
    </row>
    <row r="8" spans="1:4" ht="19.149999999999999" customHeight="1">
      <c r="A8" s="120" t="s">
        <v>331</v>
      </c>
      <c r="B8" s="203">
        <v>117600</v>
      </c>
      <c r="C8" s="203">
        <v>200000</v>
      </c>
      <c r="D8" s="178">
        <f t="shared" si="0"/>
        <v>-41.2</v>
      </c>
    </row>
    <row r="9" spans="1:4" ht="19.149999999999999" customHeight="1">
      <c r="A9" s="120" t="s">
        <v>332</v>
      </c>
      <c r="B9" s="203">
        <v>40000</v>
      </c>
      <c r="C9" s="203">
        <v>98000</v>
      </c>
      <c r="D9" s="178">
        <f t="shared" si="0"/>
        <v>-59.18</v>
      </c>
    </row>
    <row r="10" spans="1:4" ht="19.149999999999999" customHeight="1">
      <c r="A10" s="120" t="s">
        <v>333</v>
      </c>
      <c r="B10" s="203">
        <v>2000</v>
      </c>
      <c r="C10" s="203">
        <v>2000</v>
      </c>
      <c r="D10" s="178">
        <f t="shared" si="0"/>
        <v>0</v>
      </c>
    </row>
    <row r="11" spans="1:4" ht="19.149999999999999" customHeight="1">
      <c r="A11" s="120" t="s">
        <v>334</v>
      </c>
      <c r="B11" s="203">
        <v>30000</v>
      </c>
      <c r="C11" s="203">
        <v>40000</v>
      </c>
      <c r="D11" s="178">
        <f t="shared" si="0"/>
        <v>-25</v>
      </c>
    </row>
    <row r="12" spans="1:4" ht="19.149999999999999" customHeight="1">
      <c r="A12" s="120" t="s">
        <v>335</v>
      </c>
      <c r="B12" s="203">
        <v>4500</v>
      </c>
      <c r="C12" s="203">
        <v>4500</v>
      </c>
      <c r="D12" s="178">
        <f t="shared" si="0"/>
        <v>0</v>
      </c>
    </row>
    <row r="13" spans="1:4" ht="19.149999999999999" customHeight="1">
      <c r="A13" s="120" t="s">
        <v>336</v>
      </c>
      <c r="B13" s="203">
        <v>16000</v>
      </c>
      <c r="C13" s="203">
        <v>19000</v>
      </c>
      <c r="D13" s="178">
        <f t="shared" si="0"/>
        <v>-15.79</v>
      </c>
    </row>
    <row r="14" spans="1:4" ht="19.149999999999999" customHeight="1">
      <c r="A14" s="120" t="s">
        <v>337</v>
      </c>
      <c r="B14" s="203">
        <v>1000</v>
      </c>
      <c r="C14" s="203">
        <v>1000</v>
      </c>
      <c r="D14" s="178">
        <f t="shared" si="0"/>
        <v>0</v>
      </c>
    </row>
    <row r="15" spans="1:4" ht="19.149999999999999" customHeight="1">
      <c r="A15" s="120" t="s">
        <v>338</v>
      </c>
      <c r="B15" s="203">
        <v>40000</v>
      </c>
      <c r="C15" s="203">
        <v>47500</v>
      </c>
      <c r="D15" s="143">
        <f t="shared" ref="D15:D25" si="1">(ROUND(B15/C15,4)-1)*100</f>
        <v>-15.79</v>
      </c>
    </row>
    <row r="16" spans="1:4" ht="19.149999999999999" customHeight="1">
      <c r="A16" s="120" t="s">
        <v>339</v>
      </c>
      <c r="B16" s="203">
        <v>4000</v>
      </c>
      <c r="C16" s="203">
        <v>4500</v>
      </c>
      <c r="D16" s="143">
        <f t="shared" si="1"/>
        <v>-11.11</v>
      </c>
    </row>
    <row r="17" spans="1:4" ht="19.149999999999999" customHeight="1">
      <c r="A17" s="120" t="s">
        <v>340</v>
      </c>
      <c r="B17" s="203">
        <v>60700</v>
      </c>
      <c r="C17" s="203">
        <v>55300</v>
      </c>
      <c r="D17" s="143">
        <f t="shared" si="1"/>
        <v>9.76</v>
      </c>
    </row>
    <row r="18" spans="1:4" ht="19.149999999999999" customHeight="1">
      <c r="A18" s="120" t="s">
        <v>341</v>
      </c>
      <c r="B18" s="203">
        <v>200</v>
      </c>
      <c r="C18" s="203">
        <v>200</v>
      </c>
      <c r="D18" s="143">
        <f t="shared" si="1"/>
        <v>0</v>
      </c>
    </row>
    <row r="19" spans="1:4" ht="19.149999999999999" customHeight="1">
      <c r="A19" s="120" t="s">
        <v>716</v>
      </c>
      <c r="B19" s="203">
        <v>8500</v>
      </c>
      <c r="C19" s="203">
        <v>9200</v>
      </c>
      <c r="D19" s="143">
        <f t="shared" si="1"/>
        <v>-7.61</v>
      </c>
    </row>
    <row r="20" spans="1:4" ht="19.149999999999999" customHeight="1">
      <c r="A20" s="120" t="s">
        <v>342</v>
      </c>
      <c r="B20" s="203">
        <v>20000</v>
      </c>
      <c r="C20" s="203">
        <v>20000</v>
      </c>
      <c r="D20" s="143">
        <f t="shared" si="1"/>
        <v>0</v>
      </c>
    </row>
    <row r="21" spans="1:4" ht="19.149999999999999" customHeight="1">
      <c r="A21" s="120" t="s">
        <v>343</v>
      </c>
      <c r="B21" s="203">
        <f>SUBTOTAL(9,B22:B23)</f>
        <v>5400</v>
      </c>
      <c r="C21" s="203">
        <f>SUBTOTAL(9,C22:C23)</f>
        <v>5700</v>
      </c>
      <c r="D21" s="143">
        <f t="shared" si="1"/>
        <v>-5.26</v>
      </c>
    </row>
    <row r="22" spans="1:4" ht="19.149999999999999" customHeight="1">
      <c r="A22" s="120" t="s">
        <v>344</v>
      </c>
      <c r="B22" s="203">
        <v>3000</v>
      </c>
      <c r="C22" s="204">
        <v>3100</v>
      </c>
      <c r="D22" s="178">
        <f t="shared" si="1"/>
        <v>-3.23</v>
      </c>
    </row>
    <row r="23" spans="1:4" ht="19.149999999999999" customHeight="1">
      <c r="A23" s="120" t="s">
        <v>345</v>
      </c>
      <c r="B23" s="203">
        <v>2400</v>
      </c>
      <c r="C23" s="204">
        <v>2600</v>
      </c>
      <c r="D23" s="178">
        <f t="shared" si="1"/>
        <v>-7.69</v>
      </c>
    </row>
    <row r="24" spans="1:4" ht="19.149999999999999" customHeight="1">
      <c r="A24" s="206" t="s">
        <v>861</v>
      </c>
      <c r="B24" s="207">
        <v>767</v>
      </c>
      <c r="C24" s="208">
        <v>11188</v>
      </c>
      <c r="D24" s="182"/>
    </row>
    <row r="25" spans="1:4" ht="19.149999999999999" customHeight="1">
      <c r="A25" s="53" t="s">
        <v>301</v>
      </c>
      <c r="B25" s="203">
        <f>SUBTOTAL(9,B5:B24)</f>
        <v>650667</v>
      </c>
      <c r="C25" s="203">
        <f>SUBTOTAL(9,C5:C24)</f>
        <v>958088</v>
      </c>
      <c r="D25" s="178">
        <f t="shared" si="1"/>
        <v>-32.090000000000003</v>
      </c>
    </row>
    <row r="26" spans="1:4" ht="19.149999999999999" customHeight="1">
      <c r="A26" s="54" t="s">
        <v>38</v>
      </c>
      <c r="B26" s="203">
        <v>122000</v>
      </c>
      <c r="C26" s="203"/>
      <c r="D26" s="52"/>
    </row>
    <row r="27" spans="1:4" ht="19.149999999999999" customHeight="1">
      <c r="A27" s="54" t="s">
        <v>8</v>
      </c>
      <c r="B27" s="203">
        <f>SUM(B28:B32)</f>
        <v>30000</v>
      </c>
      <c r="C27" s="203"/>
      <c r="D27" s="52"/>
    </row>
    <row r="28" spans="1:4" ht="19.149999999999999" customHeight="1">
      <c r="A28" s="63" t="s">
        <v>116</v>
      </c>
      <c r="B28" s="203"/>
      <c r="C28" s="203"/>
      <c r="D28" s="52"/>
    </row>
    <row r="29" spans="1:4" ht="19.149999999999999" customHeight="1">
      <c r="A29" s="63" t="s">
        <v>117</v>
      </c>
      <c r="B29" s="203"/>
      <c r="C29" s="203"/>
      <c r="D29" s="52"/>
    </row>
    <row r="30" spans="1:4" ht="19.149999999999999" customHeight="1">
      <c r="A30" s="63" t="s">
        <v>113</v>
      </c>
      <c r="B30" s="203">
        <v>30000</v>
      </c>
      <c r="C30" s="203"/>
      <c r="D30" s="52"/>
    </row>
    <row r="31" spans="1:4" ht="19.149999999999999" customHeight="1">
      <c r="A31" s="63" t="s">
        <v>112</v>
      </c>
      <c r="B31" s="203"/>
      <c r="C31" s="203"/>
      <c r="D31" s="52"/>
    </row>
    <row r="32" spans="1:4" ht="19.149999999999999" customHeight="1">
      <c r="A32" s="63" t="s">
        <v>114</v>
      </c>
      <c r="B32" s="205"/>
      <c r="C32" s="205"/>
      <c r="D32" s="65"/>
    </row>
    <row r="33" spans="1:4" ht="19.149999999999999" customHeight="1">
      <c r="A33" s="53" t="s">
        <v>7</v>
      </c>
      <c r="B33" s="121">
        <f>B25+B26+B27</f>
        <v>802667</v>
      </c>
      <c r="C33" s="121">
        <f>C25+C26+C27</f>
        <v>958088</v>
      </c>
      <c r="D33" s="178">
        <f>(ROUND(B33/C33,4)-1)*100</f>
        <v>-16.22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3" sqref="A3"/>
    </sheetView>
  </sheetViews>
  <sheetFormatPr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19" t="s">
        <v>778</v>
      </c>
    </row>
    <row r="2" spans="1:10" ht="20.25">
      <c r="A2" s="228" t="s">
        <v>862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>
      <c r="A3" s="37"/>
      <c r="B3" s="37"/>
      <c r="C3" s="37"/>
      <c r="D3" s="37"/>
      <c r="E3" s="37"/>
      <c r="F3" s="37"/>
      <c r="G3" s="37"/>
      <c r="H3" s="37"/>
      <c r="J3" s="97" t="s">
        <v>56</v>
      </c>
    </row>
    <row r="4" spans="1:10" ht="23.45" customHeight="1">
      <c r="A4" s="81" t="s">
        <v>55</v>
      </c>
      <c r="B4" s="53" t="s">
        <v>70</v>
      </c>
      <c r="C4" s="53" t="s">
        <v>149</v>
      </c>
      <c r="D4" s="53" t="s">
        <v>118</v>
      </c>
      <c r="E4" s="53" t="s">
        <v>118</v>
      </c>
      <c r="F4" s="53" t="s">
        <v>118</v>
      </c>
      <c r="G4" s="53" t="s">
        <v>154</v>
      </c>
      <c r="H4" s="53" t="s">
        <v>154</v>
      </c>
      <c r="I4" s="53" t="s">
        <v>154</v>
      </c>
      <c r="J4" s="82" t="s">
        <v>140</v>
      </c>
    </row>
    <row r="5" spans="1:10" ht="25.35" customHeight="1">
      <c r="A5" s="52" t="s">
        <v>59</v>
      </c>
      <c r="B5" s="52"/>
      <c r="C5" s="52"/>
      <c r="D5" s="52"/>
      <c r="E5" s="52"/>
      <c r="F5" s="52"/>
      <c r="G5" s="52"/>
      <c r="H5" s="52"/>
      <c r="I5" s="52"/>
      <c r="J5" s="65"/>
    </row>
    <row r="6" spans="1:10" ht="25.35" customHeight="1">
      <c r="A6" s="52" t="s">
        <v>60</v>
      </c>
      <c r="B6" s="52"/>
      <c r="C6" s="52"/>
      <c r="D6" s="52"/>
      <c r="E6" s="52"/>
      <c r="F6" s="52"/>
      <c r="G6" s="52"/>
      <c r="H6" s="52"/>
      <c r="I6" s="52"/>
      <c r="J6" s="65"/>
    </row>
    <row r="7" spans="1:10" ht="25.35" customHeight="1">
      <c r="A7" s="52" t="s">
        <v>61</v>
      </c>
      <c r="B7" s="52"/>
      <c r="C7" s="52"/>
      <c r="D7" s="52"/>
      <c r="E7" s="52"/>
      <c r="F7" s="52"/>
      <c r="G7" s="52"/>
      <c r="H7" s="52"/>
      <c r="I7" s="52"/>
      <c r="J7" s="65"/>
    </row>
    <row r="8" spans="1:10" ht="25.35" customHeight="1">
      <c r="A8" s="52" t="s">
        <v>62</v>
      </c>
      <c r="B8" s="52"/>
      <c r="C8" s="52"/>
      <c r="D8" s="52"/>
      <c r="E8" s="52"/>
      <c r="F8" s="52"/>
      <c r="G8" s="52"/>
      <c r="H8" s="52"/>
      <c r="I8" s="52"/>
      <c r="J8" s="65"/>
    </row>
    <row r="9" spans="1:10" ht="25.35" customHeight="1">
      <c r="A9" s="52" t="s">
        <v>63</v>
      </c>
      <c r="B9" s="52"/>
      <c r="C9" s="52"/>
      <c r="D9" s="52"/>
      <c r="E9" s="52"/>
      <c r="F9" s="52"/>
      <c r="G9" s="46"/>
      <c r="H9" s="52"/>
      <c r="I9" s="52"/>
      <c r="J9" s="65"/>
    </row>
    <row r="10" spans="1:10" ht="25.35" customHeight="1">
      <c r="A10" s="52" t="s">
        <v>64</v>
      </c>
      <c r="B10" s="52"/>
      <c r="C10" s="52"/>
      <c r="D10" s="52"/>
      <c r="E10" s="52"/>
      <c r="F10" s="52"/>
      <c r="G10" s="52"/>
      <c r="H10" s="52"/>
      <c r="I10" s="52"/>
      <c r="J10" s="65"/>
    </row>
    <row r="11" spans="1:10" ht="25.35" customHeight="1">
      <c r="A11" s="52" t="s">
        <v>65</v>
      </c>
      <c r="B11" s="52"/>
      <c r="C11" s="52"/>
      <c r="D11" s="52"/>
      <c r="E11" s="52"/>
      <c r="F11" s="52"/>
      <c r="G11" s="52"/>
      <c r="H11" s="52"/>
      <c r="I11" s="52"/>
      <c r="J11" s="65"/>
    </row>
    <row r="12" spans="1:10" ht="25.35" customHeight="1">
      <c r="A12" s="52" t="s">
        <v>66</v>
      </c>
      <c r="B12" s="52"/>
      <c r="C12" s="52"/>
      <c r="D12" s="52"/>
      <c r="E12" s="52"/>
      <c r="F12" s="52"/>
      <c r="G12" s="52"/>
      <c r="H12" s="52"/>
      <c r="I12" s="52"/>
      <c r="J12" s="65"/>
    </row>
    <row r="13" spans="1:10" ht="25.35" customHeight="1">
      <c r="A13" s="52" t="s">
        <v>67</v>
      </c>
      <c r="B13" s="52"/>
      <c r="C13" s="52"/>
      <c r="D13" s="52"/>
      <c r="E13" s="52"/>
      <c r="F13" s="52"/>
      <c r="G13" s="52"/>
      <c r="H13" s="52"/>
      <c r="I13" s="52"/>
      <c r="J13" s="65"/>
    </row>
    <row r="14" spans="1:10" ht="25.35" customHeight="1">
      <c r="A14" s="52" t="s">
        <v>68</v>
      </c>
      <c r="B14" s="52"/>
      <c r="C14" s="52"/>
      <c r="D14" s="52"/>
      <c r="E14" s="52"/>
      <c r="F14" s="52"/>
      <c r="G14" s="52"/>
      <c r="H14" s="52"/>
      <c r="I14" s="52"/>
      <c r="J14" s="65"/>
    </row>
    <row r="15" spans="1:10" ht="25.35" customHeight="1">
      <c r="A15" s="52" t="s">
        <v>69</v>
      </c>
      <c r="B15" s="52"/>
      <c r="C15" s="52"/>
      <c r="D15" s="52"/>
      <c r="E15" s="52"/>
      <c r="F15" s="52"/>
      <c r="G15" s="52"/>
      <c r="H15" s="52"/>
      <c r="I15" s="52"/>
      <c r="J15" s="65"/>
    </row>
    <row r="16" spans="1:10" s="83" customFormat="1" ht="25.35" customHeight="1">
      <c r="A16" s="53" t="s">
        <v>275</v>
      </c>
      <c r="B16" s="54"/>
      <c r="C16" s="54"/>
      <c r="D16" s="54"/>
      <c r="E16" s="54"/>
      <c r="F16" s="54"/>
      <c r="G16" s="54"/>
      <c r="H16" s="54"/>
      <c r="I16" s="54"/>
      <c r="J16" s="84"/>
    </row>
    <row r="17" spans="1:10" ht="39.6" customHeight="1">
      <c r="A17" s="229" t="s">
        <v>777</v>
      </c>
      <c r="B17" s="229"/>
      <c r="C17" s="229"/>
      <c r="D17" s="229"/>
      <c r="E17" s="229"/>
      <c r="F17" s="229"/>
      <c r="G17" s="229"/>
      <c r="H17" s="229"/>
      <c r="I17" s="229"/>
      <c r="J17" s="229"/>
    </row>
  </sheetData>
  <mergeCells count="2">
    <mergeCell ref="A2:J2"/>
    <mergeCell ref="A17:J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4" workbookViewId="0">
      <selection activeCell="H12" sqref="H12"/>
    </sheetView>
  </sheetViews>
  <sheetFormatPr defaultRowHeight="14.25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4">
      <c r="A1" s="19" t="s">
        <v>779</v>
      </c>
    </row>
    <row r="2" spans="1:4" ht="20.25">
      <c r="A2" s="228" t="s">
        <v>863</v>
      </c>
      <c r="B2" s="228"/>
      <c r="C2" s="228"/>
      <c r="D2" s="228"/>
    </row>
    <row r="3" spans="1:4" ht="24.6" customHeight="1">
      <c r="A3" s="38"/>
      <c r="B3" s="39"/>
      <c r="C3" s="39"/>
      <c r="D3" s="80" t="s">
        <v>56</v>
      </c>
    </row>
    <row r="4" spans="1:4" ht="48.6" customHeight="1">
      <c r="A4" s="87" t="s">
        <v>55</v>
      </c>
      <c r="B4" s="87" t="s">
        <v>111</v>
      </c>
      <c r="C4" s="89" t="s">
        <v>225</v>
      </c>
      <c r="D4" s="100" t="s">
        <v>229</v>
      </c>
    </row>
    <row r="5" spans="1:4" ht="23.45" customHeight="1">
      <c r="A5" s="52" t="s">
        <v>71</v>
      </c>
      <c r="B5" s="52"/>
      <c r="C5" s="52"/>
      <c r="D5" s="52"/>
    </row>
    <row r="6" spans="1:4" ht="23.45" customHeight="1">
      <c r="A6" s="52" t="s">
        <v>72</v>
      </c>
      <c r="B6" s="52"/>
      <c r="C6" s="52"/>
      <c r="D6" s="52"/>
    </row>
    <row r="7" spans="1:4" ht="23.45" customHeight="1">
      <c r="A7" s="64" t="s">
        <v>107</v>
      </c>
      <c r="B7" s="52"/>
      <c r="C7" s="52"/>
      <c r="D7" s="52"/>
    </row>
    <row r="8" spans="1:4" ht="23.45" customHeight="1">
      <c r="A8" s="63" t="s">
        <v>108</v>
      </c>
      <c r="B8" s="52"/>
      <c r="C8" s="52"/>
      <c r="D8" s="52"/>
    </row>
    <row r="9" spans="1:4" ht="23.45" customHeight="1">
      <c r="A9" s="63" t="s">
        <v>109</v>
      </c>
      <c r="B9" s="52"/>
      <c r="C9" s="52"/>
      <c r="D9" s="52"/>
    </row>
    <row r="10" spans="1:4" ht="23.45" customHeight="1">
      <c r="A10" s="63" t="s">
        <v>110</v>
      </c>
      <c r="B10" s="52"/>
      <c r="C10" s="52"/>
      <c r="D10" s="52"/>
    </row>
    <row r="11" spans="1:4" ht="23.45" customHeight="1">
      <c r="A11" s="52" t="s">
        <v>73</v>
      </c>
      <c r="B11" s="52"/>
      <c r="C11" s="52"/>
      <c r="D11" s="52"/>
    </row>
    <row r="12" spans="1:4" ht="23.45" customHeight="1">
      <c r="A12" s="52" t="s">
        <v>74</v>
      </c>
      <c r="B12" s="52"/>
      <c r="C12" s="52"/>
      <c r="D12" s="52"/>
    </row>
    <row r="13" spans="1:4" ht="23.45" customHeight="1">
      <c r="A13" s="52" t="s">
        <v>103</v>
      </c>
      <c r="B13" s="52">
        <v>5000</v>
      </c>
      <c r="C13" s="52">
        <v>12000</v>
      </c>
      <c r="D13" s="143">
        <f>(ROUND(B13/C13,4)-1)*100</f>
        <v>-58.33</v>
      </c>
    </row>
    <row r="14" spans="1:4" ht="23.45" customHeight="1">
      <c r="A14" s="53" t="s">
        <v>300</v>
      </c>
      <c r="B14" s="52">
        <f>B5+B6+B11+B13+B12</f>
        <v>5000</v>
      </c>
      <c r="C14" s="52">
        <f>C5+C6+C11+C13+C12</f>
        <v>12000</v>
      </c>
      <c r="D14" s="143">
        <f>(ROUND(B14/C14,4)-1)*100</f>
        <v>-58.33</v>
      </c>
    </row>
    <row r="15" spans="1:4" ht="23.45" customHeight="1">
      <c r="A15" s="52" t="s">
        <v>105</v>
      </c>
      <c r="B15" s="52"/>
      <c r="C15" s="52"/>
      <c r="D15" s="52"/>
    </row>
    <row r="16" spans="1:4" ht="23.45" customHeight="1">
      <c r="A16" s="108" t="s">
        <v>106</v>
      </c>
      <c r="B16" s="52"/>
      <c r="C16" s="52"/>
      <c r="D16" s="52"/>
    </row>
    <row r="17" spans="1:4" ht="23.45" customHeight="1">
      <c r="A17" s="53" t="s">
        <v>276</v>
      </c>
      <c r="B17" s="52">
        <v>5000</v>
      </c>
      <c r="C17" s="52">
        <v>12000</v>
      </c>
      <c r="D17" s="143">
        <f>(ROUND(B17/C17,4)-1)*100</f>
        <v>-58.33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B35" sqref="B35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9" t="s">
        <v>780</v>
      </c>
    </row>
    <row r="2" spans="1:4" ht="26.45" customHeight="1">
      <c r="A2" s="228" t="s">
        <v>864</v>
      </c>
      <c r="B2" s="228"/>
      <c r="C2" s="228"/>
      <c r="D2" s="228"/>
    </row>
    <row r="3" spans="1:4">
      <c r="A3" s="38"/>
      <c r="B3" s="39"/>
      <c r="C3" s="39"/>
      <c r="D3" s="80" t="s">
        <v>56</v>
      </c>
    </row>
    <row r="4" spans="1:4" ht="44.25" customHeight="1">
      <c r="A4" s="87" t="s">
        <v>55</v>
      </c>
      <c r="B4" s="87" t="s">
        <v>111</v>
      </c>
      <c r="C4" s="89" t="s">
        <v>225</v>
      </c>
      <c r="D4" s="100" t="s">
        <v>229</v>
      </c>
    </row>
    <row r="5" spans="1:4" ht="18.600000000000001" customHeight="1">
      <c r="A5" s="58" t="s">
        <v>90</v>
      </c>
      <c r="B5" s="52">
        <v>1500</v>
      </c>
      <c r="C5" s="52">
        <v>1000</v>
      </c>
      <c r="D5" s="143">
        <f>(ROUND(B5/C5,4)-1)*100</f>
        <v>50</v>
      </c>
    </row>
    <row r="6" spans="1:4" ht="18.600000000000001" customHeight="1">
      <c r="A6" s="58" t="s">
        <v>98</v>
      </c>
      <c r="B6" s="52"/>
      <c r="C6" s="52"/>
      <c r="D6" s="52"/>
    </row>
    <row r="7" spans="1:4" ht="18.600000000000001" customHeight="1">
      <c r="A7" s="61" t="s">
        <v>97</v>
      </c>
      <c r="B7" s="52"/>
      <c r="C7" s="52"/>
      <c r="D7" s="52"/>
    </row>
    <row r="8" spans="1:4" ht="18.600000000000001" customHeight="1">
      <c r="A8" s="61" t="s">
        <v>96</v>
      </c>
      <c r="B8" s="52"/>
      <c r="C8" s="52"/>
      <c r="D8" s="52"/>
    </row>
    <row r="9" spans="1:4" ht="18.600000000000001" customHeight="1">
      <c r="A9" s="61" t="s">
        <v>95</v>
      </c>
      <c r="B9" s="52"/>
      <c r="C9" s="52"/>
      <c r="D9" s="52"/>
    </row>
    <row r="10" spans="1:4" ht="18.600000000000001" customHeight="1">
      <c r="A10" s="61" t="s">
        <v>78</v>
      </c>
      <c r="B10" s="52"/>
      <c r="C10" s="52"/>
      <c r="D10" s="52"/>
    </row>
    <row r="11" spans="1:4" ht="18.600000000000001" customHeight="1">
      <c r="A11" s="61" t="s">
        <v>79</v>
      </c>
      <c r="B11" s="52"/>
      <c r="C11" s="52"/>
      <c r="D11" s="52"/>
    </row>
    <row r="12" spans="1:4" ht="18.600000000000001" customHeight="1">
      <c r="A12" s="61" t="s">
        <v>80</v>
      </c>
      <c r="B12" s="52"/>
      <c r="C12" s="52"/>
      <c r="D12" s="52"/>
    </row>
    <row r="13" spans="1:4" ht="18.600000000000001" customHeight="1">
      <c r="A13" s="61" t="s">
        <v>81</v>
      </c>
      <c r="B13" s="52"/>
      <c r="C13" s="52"/>
      <c r="D13" s="52"/>
    </row>
    <row r="14" spans="1:4" ht="18.600000000000001" customHeight="1">
      <c r="A14" s="61" t="s">
        <v>82</v>
      </c>
      <c r="B14" s="52">
        <v>1500</v>
      </c>
      <c r="C14" s="52">
        <v>1000</v>
      </c>
      <c r="D14" s="143">
        <f>(ROUND(B14/C14,4)-1)*100</f>
        <v>50</v>
      </c>
    </row>
    <row r="15" spans="1:4" ht="18.600000000000001" customHeight="1">
      <c r="A15" s="58" t="s">
        <v>91</v>
      </c>
      <c r="B15" s="60"/>
      <c r="C15" s="60">
        <v>1800</v>
      </c>
      <c r="D15" s="143">
        <f>(ROUND(B15/C15,4)-1)*100</f>
        <v>-100</v>
      </c>
    </row>
    <row r="16" spans="1:4" ht="18.600000000000001" customHeight="1">
      <c r="A16" s="62" t="s">
        <v>99</v>
      </c>
      <c r="B16" s="60"/>
      <c r="C16" s="60"/>
      <c r="D16" s="60"/>
    </row>
    <row r="17" spans="1:4" ht="18.600000000000001" customHeight="1">
      <c r="A17" s="61" t="s">
        <v>83</v>
      </c>
      <c r="B17" s="60"/>
      <c r="C17" s="60"/>
      <c r="D17" s="60"/>
    </row>
    <row r="18" spans="1:4" ht="18.600000000000001" customHeight="1">
      <c r="A18" s="61" t="s">
        <v>84</v>
      </c>
      <c r="B18" s="60"/>
      <c r="C18" s="60"/>
      <c r="D18" s="60"/>
    </row>
    <row r="19" spans="1:4" ht="18.600000000000001" customHeight="1">
      <c r="A19" s="61" t="s">
        <v>85</v>
      </c>
      <c r="B19" s="60"/>
      <c r="C19" s="60"/>
      <c r="D19" s="60"/>
    </row>
    <row r="20" spans="1:4" ht="18.600000000000001" customHeight="1">
      <c r="A20" s="61" t="s">
        <v>86</v>
      </c>
      <c r="B20" s="60"/>
      <c r="C20" s="60"/>
      <c r="D20" s="60"/>
    </row>
    <row r="21" spans="1:4" ht="18.600000000000001" customHeight="1">
      <c r="A21" s="61" t="s">
        <v>87</v>
      </c>
      <c r="B21" s="60"/>
      <c r="C21" s="60"/>
      <c r="D21" s="60"/>
    </row>
    <row r="22" spans="1:4" ht="18.600000000000001" customHeight="1">
      <c r="A22" s="61" t="s">
        <v>88</v>
      </c>
      <c r="B22" s="60"/>
      <c r="C22" s="60"/>
      <c r="D22" s="60"/>
    </row>
    <row r="23" spans="1:4" ht="18.600000000000001" customHeight="1">
      <c r="A23" s="61" t="s">
        <v>89</v>
      </c>
      <c r="B23" s="60"/>
      <c r="C23" s="60">
        <v>1800</v>
      </c>
      <c r="D23" s="143">
        <f>(ROUND(B23/C23,4)-1)*100</f>
        <v>-100</v>
      </c>
    </row>
    <row r="24" spans="1:4" ht="18.600000000000001" customHeight="1">
      <c r="A24" s="58" t="s">
        <v>92</v>
      </c>
      <c r="B24" s="60">
        <v>3500</v>
      </c>
      <c r="C24" s="60">
        <v>9200</v>
      </c>
      <c r="D24" s="143">
        <f>(ROUND(B24/C24,4)-1)*100</f>
        <v>-61.96</v>
      </c>
    </row>
    <row r="25" spans="1:4" ht="18.600000000000001" customHeight="1">
      <c r="A25" s="58" t="s">
        <v>100</v>
      </c>
      <c r="B25" s="60">
        <v>3500</v>
      </c>
      <c r="C25" s="60">
        <v>9200</v>
      </c>
      <c r="D25" s="143">
        <f>(ROUND(B25/C25,4)-1)*100</f>
        <v>-61.96</v>
      </c>
    </row>
    <row r="26" spans="1:4" ht="18.600000000000001" customHeight="1">
      <c r="A26" s="58" t="s">
        <v>93</v>
      </c>
      <c r="B26" s="59"/>
      <c r="C26" s="59"/>
      <c r="D26" s="59"/>
    </row>
    <row r="27" spans="1:4" ht="18.600000000000001" customHeight="1">
      <c r="A27" s="58" t="s">
        <v>101</v>
      </c>
      <c r="B27" s="60"/>
      <c r="C27" s="60"/>
      <c r="D27" s="60"/>
    </row>
    <row r="28" spans="1:4" ht="18.600000000000001" customHeight="1">
      <c r="A28" s="58" t="s">
        <v>102</v>
      </c>
      <c r="B28" s="60"/>
      <c r="C28" s="60"/>
      <c r="D28" s="60"/>
    </row>
    <row r="29" spans="1:4" ht="18.600000000000001" customHeight="1">
      <c r="A29" s="58" t="s">
        <v>277</v>
      </c>
      <c r="B29" s="60"/>
      <c r="C29" s="60"/>
      <c r="D29" s="60"/>
    </row>
    <row r="30" spans="1:4" ht="18.600000000000001" customHeight="1">
      <c r="A30" s="58" t="s">
        <v>94</v>
      </c>
      <c r="B30" s="59"/>
      <c r="C30" s="59"/>
      <c r="D30" s="143"/>
    </row>
    <row r="31" spans="1:4" ht="18.600000000000001" customHeight="1">
      <c r="A31" s="53" t="s">
        <v>278</v>
      </c>
      <c r="B31" s="60">
        <f>B5+B15+B24+B26+B30</f>
        <v>5000</v>
      </c>
      <c r="C31" s="60">
        <f>C5+C15+C24+C26+C30</f>
        <v>12000</v>
      </c>
      <c r="D31" s="143">
        <f>(ROUND(B31/C31,4)-1)*100</f>
        <v>-58.33</v>
      </c>
    </row>
    <row r="32" spans="1:4" ht="18.600000000000001" customHeight="1">
      <c r="A32" s="55" t="s">
        <v>104</v>
      </c>
      <c r="B32" s="60"/>
      <c r="C32" s="60"/>
      <c r="D32" s="60"/>
    </row>
    <row r="33" spans="1:4" ht="18.600000000000001" customHeight="1">
      <c r="A33" s="52" t="s">
        <v>75</v>
      </c>
      <c r="B33" s="60"/>
      <c r="C33" s="60"/>
      <c r="D33" s="60"/>
    </row>
    <row r="34" spans="1:4" ht="18.600000000000001" customHeight="1">
      <c r="A34" s="53" t="s">
        <v>302</v>
      </c>
      <c r="B34" s="60">
        <v>5000</v>
      </c>
      <c r="C34" s="60">
        <v>12000</v>
      </c>
      <c r="D34" s="143">
        <f>(ROUND(B34/C34,4)-1)*100</f>
        <v>-58.33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selection activeCell="I14" sqref="I14"/>
    </sheetView>
  </sheetViews>
  <sheetFormatPr defaultColWidth="9" defaultRowHeight="14.25"/>
  <cols>
    <col min="1" max="1" width="37.375" style="42" customWidth="1"/>
    <col min="2" max="2" width="14.125" style="43" customWidth="1"/>
    <col min="3" max="3" width="14.125" style="42" customWidth="1"/>
    <col min="4" max="4" width="21.75" style="42" customWidth="1"/>
    <col min="5" max="16384" width="9" style="42"/>
  </cols>
  <sheetData>
    <row r="1" spans="1:4" ht="19.350000000000001" customHeight="1">
      <c r="A1" s="42" t="s">
        <v>781</v>
      </c>
    </row>
    <row r="2" spans="1:4" ht="24.75" customHeight="1">
      <c r="A2" s="230" t="s">
        <v>865</v>
      </c>
      <c r="B2" s="230"/>
      <c r="C2" s="230"/>
      <c r="D2" s="230"/>
    </row>
    <row r="3" spans="1:4" ht="17.45" customHeight="1">
      <c r="A3" s="44"/>
      <c r="B3" s="33"/>
      <c r="C3" s="34"/>
      <c r="D3" s="35" t="s">
        <v>56</v>
      </c>
    </row>
    <row r="4" spans="1:4" ht="36.75" customHeight="1">
      <c r="A4" s="56" t="s">
        <v>76</v>
      </c>
      <c r="B4" s="57" t="s">
        <v>111</v>
      </c>
      <c r="C4" s="102" t="s">
        <v>225</v>
      </c>
      <c r="D4" s="102" t="s">
        <v>229</v>
      </c>
    </row>
    <row r="5" spans="1:4" ht="21" customHeight="1">
      <c r="A5" s="133" t="s">
        <v>717</v>
      </c>
      <c r="B5" s="141">
        <f t="shared" ref="B5" si="0">SUBTOTAL(9,B6:B20)</f>
        <v>197643</v>
      </c>
      <c r="C5" s="138">
        <f>SUBTOTAL(9,C6:C20)</f>
        <v>193063</v>
      </c>
      <c r="D5" s="142">
        <f>(ROUND(B5/C5,4)-1)*100</f>
        <v>2.37</v>
      </c>
    </row>
    <row r="6" spans="1:4" ht="21" customHeight="1">
      <c r="A6" s="133" t="s">
        <v>346</v>
      </c>
      <c r="B6" s="141">
        <f t="shared" ref="B6:C6" si="1">SUBTOTAL(9,B7:B10)</f>
        <v>55898</v>
      </c>
      <c r="C6" s="138">
        <f t="shared" si="1"/>
        <v>53579</v>
      </c>
      <c r="D6" s="142">
        <f>(ROUND(B6/C6,4)-1)*100</f>
        <v>4.33</v>
      </c>
    </row>
    <row r="7" spans="1:4" ht="21" customHeight="1">
      <c r="A7" s="133" t="s">
        <v>347</v>
      </c>
      <c r="B7" s="141">
        <v>11849</v>
      </c>
      <c r="C7" s="138">
        <v>12765</v>
      </c>
      <c r="D7" s="147"/>
    </row>
    <row r="8" spans="1:4" ht="21" customHeight="1">
      <c r="A8" s="133" t="s">
        <v>348</v>
      </c>
      <c r="B8" s="141">
        <v>28341</v>
      </c>
      <c r="C8" s="138">
        <v>25951</v>
      </c>
      <c r="D8" s="147"/>
    </row>
    <row r="9" spans="1:4" ht="21" customHeight="1">
      <c r="A9" s="133" t="s">
        <v>349</v>
      </c>
      <c r="B9" s="141">
        <v>12564</v>
      </c>
      <c r="C9" s="138">
        <v>9897</v>
      </c>
      <c r="D9" s="148"/>
    </row>
    <row r="10" spans="1:4" ht="21" customHeight="1">
      <c r="A10" s="133" t="s">
        <v>350</v>
      </c>
      <c r="B10" s="141">
        <v>3144</v>
      </c>
      <c r="C10" s="138">
        <v>4966</v>
      </c>
      <c r="D10" s="148"/>
    </row>
    <row r="11" spans="1:4" ht="21" customHeight="1">
      <c r="A11" s="134" t="s">
        <v>718</v>
      </c>
      <c r="B11" s="141">
        <f t="shared" ref="B11:C11" si="2">SUBTOTAL(9,B12:B14)</f>
        <v>32345</v>
      </c>
      <c r="C11" s="138">
        <f t="shared" si="2"/>
        <v>31205</v>
      </c>
      <c r="D11" s="142">
        <f>(ROUND(B11/C11,4)-1)*100</f>
        <v>3.65</v>
      </c>
    </row>
    <row r="12" spans="1:4" ht="21" customHeight="1">
      <c r="A12" s="133" t="s">
        <v>351</v>
      </c>
      <c r="B12" s="141">
        <v>24500</v>
      </c>
      <c r="C12" s="138">
        <v>23454.5</v>
      </c>
      <c r="D12" s="148"/>
    </row>
    <row r="13" spans="1:4" ht="21" customHeight="1">
      <c r="A13" s="133" t="s">
        <v>352</v>
      </c>
      <c r="B13" s="141">
        <v>7310</v>
      </c>
      <c r="C13" s="138">
        <v>7250</v>
      </c>
      <c r="D13" s="148"/>
    </row>
    <row r="14" spans="1:4" ht="21" customHeight="1">
      <c r="A14" s="133" t="s">
        <v>353</v>
      </c>
      <c r="B14" s="141">
        <v>535</v>
      </c>
      <c r="C14" s="138">
        <v>500</v>
      </c>
      <c r="D14" s="148"/>
    </row>
    <row r="15" spans="1:4" ht="21" customHeight="1">
      <c r="A15" s="133" t="s">
        <v>354</v>
      </c>
      <c r="B15" s="141">
        <f t="shared" ref="B15:C15" si="3">SUBTOTAL(9,B16:B20)</f>
        <v>109400</v>
      </c>
      <c r="C15" s="138">
        <f t="shared" si="3"/>
        <v>108279</v>
      </c>
      <c r="D15" s="142">
        <f>(ROUND(B15/C15,4)-1)*100</f>
        <v>1.04</v>
      </c>
    </row>
    <row r="16" spans="1:4" ht="21" customHeight="1">
      <c r="A16" s="133" t="s">
        <v>355</v>
      </c>
      <c r="B16" s="141">
        <v>53129</v>
      </c>
      <c r="C16" s="138">
        <v>53712</v>
      </c>
      <c r="D16" s="148"/>
    </row>
    <row r="17" spans="1:4" ht="21" customHeight="1">
      <c r="A17" s="133" t="s">
        <v>356</v>
      </c>
      <c r="B17" s="141">
        <v>26371</v>
      </c>
      <c r="C17" s="139">
        <v>25304</v>
      </c>
      <c r="D17" s="148"/>
    </row>
    <row r="18" spans="1:4" ht="21" customHeight="1">
      <c r="A18" s="133" t="s">
        <v>357</v>
      </c>
      <c r="B18" s="141">
        <v>12200</v>
      </c>
      <c r="C18" s="139">
        <v>11738</v>
      </c>
      <c r="D18" s="148"/>
    </row>
    <row r="19" spans="1:4" ht="21" customHeight="1">
      <c r="A19" s="135" t="s">
        <v>358</v>
      </c>
      <c r="B19" s="141">
        <v>17000</v>
      </c>
      <c r="C19" s="139">
        <v>16863.13</v>
      </c>
      <c r="D19" s="148"/>
    </row>
    <row r="20" spans="1:4" ht="21" customHeight="1">
      <c r="A20" s="135" t="s">
        <v>719</v>
      </c>
      <c r="B20" s="141">
        <v>700</v>
      </c>
      <c r="C20" s="139">
        <v>662</v>
      </c>
      <c r="D20" s="148"/>
    </row>
    <row r="21" spans="1:4" ht="21" customHeight="1">
      <c r="A21" s="231" t="s">
        <v>359</v>
      </c>
      <c r="B21" s="232">
        <f t="shared" ref="B21:C21" si="4">SUBTOTAL(9,B24:B41)</f>
        <v>286162</v>
      </c>
      <c r="C21" s="233">
        <f t="shared" si="4"/>
        <v>283069</v>
      </c>
      <c r="D21" s="234">
        <f>(ROUND(B21/C21,4)-1)*100</f>
        <v>1.0900000000000001</v>
      </c>
    </row>
    <row r="22" spans="1:4" ht="21" customHeight="1">
      <c r="A22" s="231"/>
      <c r="B22" s="232"/>
      <c r="C22" s="233"/>
      <c r="D22" s="234"/>
    </row>
    <row r="23" spans="1:4" ht="21" customHeight="1">
      <c r="A23" s="231"/>
      <c r="B23" s="232"/>
      <c r="C23" s="233"/>
      <c r="D23" s="234"/>
    </row>
    <row r="24" spans="1:4" ht="21" customHeight="1">
      <c r="A24" s="136" t="s">
        <v>360</v>
      </c>
      <c r="B24" s="141">
        <f t="shared" ref="B24:C24" si="5">SUBTOTAL(9,B25:B26)</f>
        <v>127194</v>
      </c>
      <c r="C24" s="138">
        <f t="shared" si="5"/>
        <v>124700</v>
      </c>
      <c r="D24" s="142">
        <f>(ROUND(B24/C24,4)-1)*100</f>
        <v>2</v>
      </c>
    </row>
    <row r="25" spans="1:4" ht="21" customHeight="1">
      <c r="A25" s="136" t="s">
        <v>361</v>
      </c>
      <c r="B25" s="139">
        <v>127194</v>
      </c>
      <c r="C25" s="139">
        <v>124700</v>
      </c>
      <c r="D25" s="148"/>
    </row>
    <row r="26" spans="1:4" ht="21" customHeight="1">
      <c r="A26" s="136" t="s">
        <v>362</v>
      </c>
      <c r="B26" s="141"/>
      <c r="C26" s="139"/>
      <c r="D26" s="148"/>
    </row>
    <row r="27" spans="1:4" ht="21" customHeight="1">
      <c r="A27" s="136" t="s">
        <v>363</v>
      </c>
      <c r="B27" s="141">
        <f t="shared" ref="B27:C27" si="6">SUBTOTAL(9,B28:B29)</f>
        <v>70469</v>
      </c>
      <c r="C27" s="138">
        <f t="shared" si="6"/>
        <v>69088</v>
      </c>
      <c r="D27" s="142">
        <f>(ROUND(B27/C27,4)-1)*100</f>
        <v>2</v>
      </c>
    </row>
    <row r="28" spans="1:4" ht="21" customHeight="1">
      <c r="A28" s="136" t="s">
        <v>364</v>
      </c>
      <c r="B28" s="181">
        <v>70469</v>
      </c>
      <c r="C28" s="138">
        <v>69088</v>
      </c>
      <c r="D28" s="148"/>
    </row>
    <row r="29" spans="1:4" ht="21" customHeight="1">
      <c r="A29" s="136" t="s">
        <v>362</v>
      </c>
      <c r="B29" s="141"/>
      <c r="C29" s="138"/>
      <c r="D29" s="148"/>
    </row>
    <row r="30" spans="1:4" ht="21" customHeight="1">
      <c r="A30" s="136" t="s">
        <v>365</v>
      </c>
      <c r="B30" s="141">
        <f t="shared" ref="B30:C30" si="7">SUBTOTAL(9,B31:B32)</f>
        <v>4616</v>
      </c>
      <c r="C30" s="138">
        <f t="shared" si="7"/>
        <v>4525</v>
      </c>
      <c r="D30" s="142">
        <f>(ROUND(B30/C30,4)-1)*100</f>
        <v>2.0099999999999998</v>
      </c>
    </row>
    <row r="31" spans="1:4" ht="21" customHeight="1">
      <c r="A31" s="136" t="s">
        <v>366</v>
      </c>
      <c r="B31" s="141">
        <v>4615.5</v>
      </c>
      <c r="C31" s="138">
        <v>4525</v>
      </c>
      <c r="D31" s="148"/>
    </row>
    <row r="32" spans="1:4" ht="21" customHeight="1">
      <c r="A32" s="136" t="s">
        <v>362</v>
      </c>
      <c r="B32" s="141"/>
      <c r="C32" s="138"/>
      <c r="D32" s="148"/>
    </row>
    <row r="33" spans="1:4" ht="21" customHeight="1">
      <c r="A33" s="136" t="s">
        <v>367</v>
      </c>
      <c r="B33" s="141">
        <f t="shared" ref="B33:C33" si="8">SUBTOTAL(9,B34:B35)</f>
        <v>6883</v>
      </c>
      <c r="C33" s="138">
        <f t="shared" si="8"/>
        <v>6748</v>
      </c>
      <c r="D33" s="142">
        <f>(ROUND(B33/C33,4)-1)*100</f>
        <v>2</v>
      </c>
    </row>
    <row r="34" spans="1:4" ht="21" customHeight="1">
      <c r="A34" s="136" t="s">
        <v>368</v>
      </c>
      <c r="B34" s="141">
        <v>6883</v>
      </c>
      <c r="C34" s="180">
        <v>6748</v>
      </c>
      <c r="D34" s="149"/>
    </row>
    <row r="35" spans="1:4" ht="21" customHeight="1">
      <c r="A35" s="136" t="s">
        <v>362</v>
      </c>
      <c r="B35" s="141"/>
      <c r="C35" s="140"/>
      <c r="D35" s="149"/>
    </row>
    <row r="36" spans="1:4" ht="21" customHeight="1">
      <c r="A36" s="136" t="s">
        <v>369</v>
      </c>
      <c r="B36" s="141">
        <f t="shared" ref="B36:C36" si="9">SUBTOTAL(9,B37:B38)</f>
        <v>0</v>
      </c>
      <c r="C36" s="138">
        <f t="shared" si="9"/>
        <v>5710</v>
      </c>
      <c r="D36" s="142">
        <f>(ROUND(B36/C36,4)-1)*100</f>
        <v>-100</v>
      </c>
    </row>
    <row r="37" spans="1:4" ht="21" customHeight="1">
      <c r="A37" s="136" t="s">
        <v>370</v>
      </c>
      <c r="B37" s="141"/>
      <c r="C37" s="138">
        <v>5310</v>
      </c>
      <c r="D37" s="149"/>
    </row>
    <row r="38" spans="1:4" ht="21" customHeight="1">
      <c r="A38" s="136" t="s">
        <v>362</v>
      </c>
      <c r="B38" s="141"/>
      <c r="C38" s="140">
        <v>400</v>
      </c>
      <c r="D38" s="149"/>
    </row>
    <row r="39" spans="1:4" ht="21" customHeight="1">
      <c r="A39" s="133" t="s">
        <v>371</v>
      </c>
      <c r="B39" s="141">
        <f t="shared" ref="B39:C39" si="10">SUBTOTAL(9,B40:B41)</f>
        <v>77000</v>
      </c>
      <c r="C39" s="138">
        <f t="shared" si="10"/>
        <v>72298</v>
      </c>
      <c r="D39" s="142">
        <f>(ROUND(B39/C39,4)-1)*100</f>
        <v>6.5</v>
      </c>
    </row>
    <row r="40" spans="1:4" ht="21" customHeight="1">
      <c r="A40" s="136" t="s">
        <v>372</v>
      </c>
      <c r="B40" s="141">
        <v>77000</v>
      </c>
      <c r="C40" s="138">
        <v>72298</v>
      </c>
      <c r="D40" s="149"/>
    </row>
    <row r="41" spans="1:4" ht="21" customHeight="1">
      <c r="A41" s="136" t="s">
        <v>362</v>
      </c>
      <c r="B41" s="141"/>
      <c r="C41" s="138"/>
      <c r="D41" s="149"/>
    </row>
    <row r="42" spans="1:4" ht="21" customHeight="1">
      <c r="A42" s="137" t="s">
        <v>720</v>
      </c>
      <c r="B42" s="141">
        <f t="shared" ref="B42:C42" si="11">SUBTOTAL(9,B5:B41)</f>
        <v>483805</v>
      </c>
      <c r="C42" s="138">
        <f t="shared" si="11"/>
        <v>476132</v>
      </c>
      <c r="D42" s="142">
        <f>(ROUND(B42/C42,4)-1)*100</f>
        <v>1.61</v>
      </c>
    </row>
  </sheetData>
  <mergeCells count="5">
    <mergeCell ref="A2:D2"/>
    <mergeCell ref="A21:A23"/>
    <mergeCell ref="B21:B23"/>
    <mergeCell ref="C21:C23"/>
    <mergeCell ref="D21:D23"/>
  </mergeCells>
  <phoneticPr fontId="37" type="noConversion"/>
  <conditionalFormatting sqref="A5:A9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A10" sqref="A10"/>
    </sheetView>
  </sheetViews>
  <sheetFormatPr defaultColWidth="9" defaultRowHeight="14.25"/>
  <cols>
    <col min="1" max="1" width="46" style="42" customWidth="1"/>
    <col min="2" max="2" width="13" style="43" customWidth="1"/>
    <col min="3" max="3" width="13.375" style="42" customWidth="1"/>
    <col min="4" max="4" width="17.375" style="42" customWidth="1"/>
    <col min="5" max="16384" width="9" style="42"/>
  </cols>
  <sheetData>
    <row r="1" spans="1:4" ht="19.350000000000001" customHeight="1">
      <c r="A1" s="42" t="s">
        <v>782</v>
      </c>
    </row>
    <row r="2" spans="1:4" ht="26.45" customHeight="1">
      <c r="A2" s="230" t="s">
        <v>868</v>
      </c>
      <c r="B2" s="230"/>
      <c r="C2" s="230"/>
      <c r="D2" s="230"/>
    </row>
    <row r="3" spans="1:4" ht="17.45" customHeight="1">
      <c r="A3" s="44"/>
      <c r="B3" s="33"/>
      <c r="C3" s="34"/>
      <c r="D3" s="35" t="s">
        <v>56</v>
      </c>
    </row>
    <row r="4" spans="1:4" ht="44.45" customHeight="1">
      <c r="A4" s="144" t="s">
        <v>76</v>
      </c>
      <c r="B4" s="145" t="s">
        <v>111</v>
      </c>
      <c r="C4" s="146" t="s">
        <v>225</v>
      </c>
      <c r="D4" s="146" t="s">
        <v>229</v>
      </c>
    </row>
    <row r="5" spans="1:4" ht="18.75" customHeight="1">
      <c r="A5" s="150" t="s">
        <v>721</v>
      </c>
      <c r="B5" s="141">
        <f>SUBTOTAL(9,B6:B13)</f>
        <v>144100</v>
      </c>
      <c r="C5" s="141">
        <f>SUBTOTAL(9,C6:C13)</f>
        <v>140097</v>
      </c>
      <c r="D5" s="142">
        <f>(ROUND(B5/C5,4)-1)*100</f>
        <v>2.86</v>
      </c>
    </row>
    <row r="6" spans="1:4" ht="18.75" customHeight="1">
      <c r="A6" s="150" t="s">
        <v>373</v>
      </c>
      <c r="B6" s="180">
        <f>SUBTOTAL(9,B7:B9)</f>
        <v>40110</v>
      </c>
      <c r="C6" s="141">
        <f>SUBTOTAL(9,C7:C9)</f>
        <v>39352</v>
      </c>
      <c r="D6" s="142">
        <f>(ROUND(B6/C6,4)-1)*100</f>
        <v>1.93</v>
      </c>
    </row>
    <row r="7" spans="1:4" ht="18.75" customHeight="1">
      <c r="A7" s="150" t="s">
        <v>374</v>
      </c>
      <c r="B7" s="124">
        <v>38310</v>
      </c>
      <c r="C7" s="141">
        <v>37326</v>
      </c>
      <c r="D7" s="147"/>
    </row>
    <row r="8" spans="1:4" ht="18.75" customHeight="1">
      <c r="A8" s="150" t="s">
        <v>375</v>
      </c>
      <c r="B8" s="124">
        <v>1800</v>
      </c>
      <c r="C8" s="141">
        <v>1669</v>
      </c>
      <c r="D8" s="147"/>
    </row>
    <row r="9" spans="1:4" ht="18.75" customHeight="1">
      <c r="A9" s="150" t="s">
        <v>866</v>
      </c>
      <c r="B9" s="124"/>
      <c r="C9" s="180">
        <v>357</v>
      </c>
      <c r="D9" s="147"/>
    </row>
    <row r="10" spans="1:4" ht="18.75" customHeight="1">
      <c r="A10" s="209" t="s">
        <v>722</v>
      </c>
      <c r="B10" s="141">
        <v>36100</v>
      </c>
      <c r="C10" s="141">
        <v>35900</v>
      </c>
      <c r="D10" s="142">
        <f>(ROUND(B10/C10,4)-1)*100</f>
        <v>0.56000000000000005</v>
      </c>
    </row>
    <row r="11" spans="1:4" ht="18.75" customHeight="1">
      <c r="A11" s="151" t="s">
        <v>376</v>
      </c>
      <c r="B11" s="141">
        <f>SUBTOTAL(9,B12:B13)</f>
        <v>67890</v>
      </c>
      <c r="C11" s="141">
        <f>SUBTOTAL(9,C12:C13)</f>
        <v>64845</v>
      </c>
      <c r="D11" s="142">
        <f>(ROUND(B11/C11,4)-1)*100</f>
        <v>4.7</v>
      </c>
    </row>
    <row r="12" spans="1:4" ht="18.75" customHeight="1">
      <c r="A12" s="151" t="s">
        <v>377</v>
      </c>
      <c r="B12" s="141">
        <v>50890</v>
      </c>
      <c r="C12" s="141">
        <v>47982</v>
      </c>
      <c r="D12" s="148"/>
    </row>
    <row r="13" spans="1:4" ht="18.75" customHeight="1">
      <c r="A13" s="151" t="s">
        <v>378</v>
      </c>
      <c r="B13" s="141">
        <v>17000</v>
      </c>
      <c r="C13" s="141">
        <v>16863</v>
      </c>
      <c r="D13" s="148"/>
    </row>
    <row r="14" spans="1:4" ht="18.75" customHeight="1">
      <c r="A14" s="150" t="s">
        <v>723</v>
      </c>
      <c r="B14" s="180">
        <f>SUBTOTAL(9,B17:B34)</f>
        <v>268995</v>
      </c>
      <c r="C14" s="180">
        <f>SUBTOTAL(9,C17:C34)</f>
        <v>264696</v>
      </c>
      <c r="D14" s="234">
        <f>(ROUND(B14/C14,4)-1)*100</f>
        <v>1.62</v>
      </c>
    </row>
    <row r="15" spans="1:4" ht="18.75" customHeight="1">
      <c r="A15" s="150" t="s">
        <v>867</v>
      </c>
      <c r="B15" s="180">
        <f>SUBTOTAL(9,B18,B21,B24,B27,B30,B33)</f>
        <v>142500</v>
      </c>
      <c r="C15" s="180">
        <f>SUBTOTAL(9,C18,C21,C24,C27,C30,C33)</f>
        <v>135916</v>
      </c>
      <c r="D15" s="234"/>
    </row>
    <row r="16" spans="1:4" ht="18.75" customHeight="1">
      <c r="A16" s="150" t="s">
        <v>724</v>
      </c>
      <c r="B16" s="180">
        <f>SUBTOTAL(9,B19,B22,B25,B28,B31,B34)</f>
        <v>126495</v>
      </c>
      <c r="C16" s="180">
        <f>SUBTOTAL(9,C19,C22,C25,C28,C31,C34)</f>
        <v>128780</v>
      </c>
      <c r="D16" s="234"/>
    </row>
    <row r="17" spans="1:4" ht="18.75" customHeight="1">
      <c r="A17" s="150" t="s">
        <v>379</v>
      </c>
      <c r="B17" s="180">
        <f>SUBTOTAL(9,B18:B19)</f>
        <v>130935</v>
      </c>
      <c r="C17" s="180">
        <f>SUBTOTAL(9,C18:C19)</f>
        <v>124700</v>
      </c>
      <c r="D17" s="142">
        <f>(ROUND(B17/C17,4)-1)*100</f>
        <v>5</v>
      </c>
    </row>
    <row r="18" spans="1:4" ht="18.75" customHeight="1">
      <c r="A18" s="150" t="s">
        <v>867</v>
      </c>
      <c r="B18" s="180">
        <v>97467</v>
      </c>
      <c r="C18" s="153">
        <v>92825</v>
      </c>
      <c r="D18" s="148"/>
    </row>
    <row r="19" spans="1:4" ht="18.75" customHeight="1">
      <c r="A19" s="150" t="s">
        <v>725</v>
      </c>
      <c r="B19" s="180">
        <v>33468</v>
      </c>
      <c r="C19" s="153">
        <v>31875</v>
      </c>
      <c r="D19" s="148"/>
    </row>
    <row r="20" spans="1:4" ht="18.75" customHeight="1">
      <c r="A20" s="150" t="s">
        <v>380</v>
      </c>
      <c r="B20" s="180">
        <f>SUBTOTAL(9,B21:B22)</f>
        <v>40224</v>
      </c>
      <c r="C20" s="180">
        <f>SUBTOTAL(9,C21:C22)</f>
        <v>38309</v>
      </c>
      <c r="D20" s="142">
        <f>(ROUND(B20/C20,4)-1)*100</f>
        <v>5</v>
      </c>
    </row>
    <row r="21" spans="1:4" ht="18.75" customHeight="1">
      <c r="A21" s="150" t="s">
        <v>867</v>
      </c>
      <c r="B21" s="180">
        <v>34639</v>
      </c>
      <c r="C21" s="180">
        <v>32990</v>
      </c>
      <c r="D21" s="148"/>
    </row>
    <row r="22" spans="1:4" ht="18.75" customHeight="1">
      <c r="A22" s="150" t="s">
        <v>726</v>
      </c>
      <c r="B22" s="180">
        <v>5585</v>
      </c>
      <c r="C22" s="180">
        <v>5319</v>
      </c>
      <c r="D22" s="148"/>
    </row>
    <row r="23" spans="1:4" ht="18.75" customHeight="1">
      <c r="A23" s="150" t="s">
        <v>381</v>
      </c>
      <c r="B23" s="180">
        <f>SUBTOTAL(9,B24:B25)</f>
        <v>4751</v>
      </c>
      <c r="C23" s="180">
        <f>SUBTOTAL(9,C24:C25)</f>
        <v>4525</v>
      </c>
      <c r="D23" s="142">
        <f>(ROUND(B23/C23,4)-1)*100</f>
        <v>4.99</v>
      </c>
    </row>
    <row r="24" spans="1:4" ht="18.75" customHeight="1">
      <c r="A24" s="150" t="s">
        <v>867</v>
      </c>
      <c r="B24" s="180">
        <v>4251</v>
      </c>
      <c r="C24" s="180">
        <v>4068</v>
      </c>
      <c r="D24" s="148"/>
    </row>
    <row r="25" spans="1:4" ht="18.75" customHeight="1">
      <c r="A25" s="150" t="s">
        <v>727</v>
      </c>
      <c r="B25" s="124">
        <v>500</v>
      </c>
      <c r="C25" s="180">
        <v>457</v>
      </c>
      <c r="D25" s="148"/>
    </row>
    <row r="26" spans="1:4" ht="18.75" customHeight="1">
      <c r="A26" s="150" t="s">
        <v>382</v>
      </c>
      <c r="B26" s="180">
        <f>SUBTOTAL(9,B27:B28)</f>
        <v>7085</v>
      </c>
      <c r="C26" s="180">
        <f>SUBTOTAL(9,C27:C28)</f>
        <v>6748</v>
      </c>
      <c r="D26" s="142">
        <f>(ROUND(B26/C26,4)-1)*100</f>
        <v>4.99</v>
      </c>
    </row>
    <row r="27" spans="1:4" ht="18.75" customHeight="1">
      <c r="A27" s="150" t="s">
        <v>867</v>
      </c>
      <c r="B27" s="180">
        <v>516</v>
      </c>
      <c r="C27" s="180">
        <v>491</v>
      </c>
      <c r="D27" s="149"/>
    </row>
    <row r="28" spans="1:4" ht="18.75" customHeight="1">
      <c r="A28" s="150" t="s">
        <v>728</v>
      </c>
      <c r="B28" s="180">
        <v>6569</v>
      </c>
      <c r="C28" s="180">
        <v>6257</v>
      </c>
      <c r="D28" s="149"/>
    </row>
    <row r="29" spans="1:4" ht="18.75" customHeight="1">
      <c r="A29" s="150" t="s">
        <v>383</v>
      </c>
      <c r="B29" s="180">
        <f>SUBTOTAL(9,B30:B31)</f>
        <v>0</v>
      </c>
      <c r="C29" s="180">
        <f>SUBTOTAL(9,C30:C31)</f>
        <v>5710</v>
      </c>
      <c r="D29" s="142">
        <f>(ROUND(B29/C29,4)-1)*100</f>
        <v>-100</v>
      </c>
    </row>
    <row r="30" spans="1:4" ht="18.75" customHeight="1">
      <c r="A30" s="150" t="s">
        <v>867</v>
      </c>
      <c r="B30" s="124"/>
      <c r="C30" s="180"/>
      <c r="D30" s="149"/>
    </row>
    <row r="31" spans="1:4" ht="18.75" customHeight="1">
      <c r="A31" s="150" t="s">
        <v>729</v>
      </c>
      <c r="B31" s="180"/>
      <c r="C31" s="180">
        <v>5710</v>
      </c>
      <c r="D31" s="149"/>
    </row>
    <row r="32" spans="1:4" ht="18.75" customHeight="1">
      <c r="A32" s="150" t="s">
        <v>384</v>
      </c>
      <c r="B32" s="180">
        <f>SUBTOTAL(9,B33:B34)</f>
        <v>86000</v>
      </c>
      <c r="C32" s="180">
        <f>SUBTOTAL(9,C33:C34)</f>
        <v>84704</v>
      </c>
      <c r="D32" s="142">
        <f>(ROUND(B32/C32,4)-1)*100</f>
        <v>1.53</v>
      </c>
    </row>
    <row r="33" spans="1:4" ht="18.75" customHeight="1">
      <c r="A33" s="150" t="s">
        <v>867</v>
      </c>
      <c r="B33" s="180">
        <v>5627</v>
      </c>
      <c r="C33" s="180">
        <v>5542</v>
      </c>
      <c r="D33" s="149"/>
    </row>
    <row r="34" spans="1:4" ht="18.75" customHeight="1">
      <c r="A34" s="150" t="s">
        <v>730</v>
      </c>
      <c r="B34" s="180">
        <v>80373</v>
      </c>
      <c r="C34" s="180">
        <v>79162</v>
      </c>
      <c r="D34" s="149"/>
    </row>
    <row r="35" spans="1:4" ht="18.75" customHeight="1">
      <c r="A35" s="152" t="s">
        <v>731</v>
      </c>
      <c r="B35" s="141">
        <f t="shared" ref="B35:C35" si="0">SUBTOTAL(9,B5:B34)</f>
        <v>413095</v>
      </c>
      <c r="C35" s="180">
        <f t="shared" si="0"/>
        <v>404793</v>
      </c>
      <c r="D35" s="142">
        <f>(ROUND(B35/C35,4)-1)*100</f>
        <v>2.0499999999999998</v>
      </c>
    </row>
  </sheetData>
  <mergeCells count="2">
    <mergeCell ref="A2:D2"/>
    <mergeCell ref="D14:D16"/>
  </mergeCells>
  <phoneticPr fontId="37" type="noConversion"/>
  <conditionalFormatting sqref="A5:A9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I10" sqref="I10"/>
    </sheetView>
  </sheetViews>
  <sheetFormatPr defaultColWidth="8.75" defaultRowHeight="14.25"/>
  <cols>
    <col min="1" max="1" width="11.375" style="154" customWidth="1"/>
    <col min="2" max="2" width="34.25" style="154" customWidth="1"/>
    <col min="3" max="3" width="34.125" style="154" customWidth="1"/>
    <col min="4" max="16384" width="8.75" style="154"/>
  </cols>
  <sheetData>
    <row r="1" spans="1:3">
      <c r="A1" s="154" t="s">
        <v>741</v>
      </c>
    </row>
    <row r="2" spans="1:3" ht="29.45" customHeight="1">
      <c r="A2" s="238" t="s">
        <v>869</v>
      </c>
      <c r="B2" s="238"/>
      <c r="C2" s="238"/>
    </row>
    <row r="3" spans="1:3" ht="25.9" customHeight="1">
      <c r="A3" s="155"/>
      <c r="B3" s="156"/>
      <c r="C3" s="157" t="s">
        <v>742</v>
      </c>
    </row>
    <row r="4" spans="1:3" ht="27.75" customHeight="1">
      <c r="A4" s="235" t="s">
        <v>743</v>
      </c>
      <c r="B4" s="235"/>
      <c r="C4" s="158" t="s">
        <v>744</v>
      </c>
    </row>
    <row r="5" spans="1:3" ht="27.75" customHeight="1">
      <c r="A5" s="236" t="s">
        <v>870</v>
      </c>
      <c r="B5" s="236"/>
      <c r="C5" s="159">
        <v>1153057</v>
      </c>
    </row>
    <row r="6" spans="1:3" ht="27.75" customHeight="1">
      <c r="A6" s="236" t="s">
        <v>871</v>
      </c>
      <c r="B6" s="236"/>
      <c r="C6" s="159">
        <v>58508</v>
      </c>
    </row>
    <row r="7" spans="1:3" ht="27.75" customHeight="1">
      <c r="A7" s="236" t="s">
        <v>872</v>
      </c>
      <c r="B7" s="236"/>
      <c r="C7" s="159">
        <v>30334</v>
      </c>
    </row>
    <row r="8" spans="1:3" ht="27.75" customHeight="1">
      <c r="A8" s="236" t="s">
        <v>873</v>
      </c>
      <c r="B8" s="236"/>
      <c r="C8" s="159">
        <f>C5+C6-C7</f>
        <v>1181231</v>
      </c>
    </row>
    <row r="9" spans="1:3" ht="27.75" customHeight="1">
      <c r="A9" s="235" t="s">
        <v>745</v>
      </c>
      <c r="B9" s="235"/>
      <c r="C9" s="158" t="s">
        <v>279</v>
      </c>
    </row>
    <row r="10" spans="1:3" ht="27.75" customHeight="1">
      <c r="A10" s="236" t="s">
        <v>874</v>
      </c>
      <c r="B10" s="236"/>
      <c r="C10" s="159">
        <v>1187742</v>
      </c>
    </row>
    <row r="11" spans="1:3" ht="27.75" customHeight="1">
      <c r="A11" s="236" t="s">
        <v>875</v>
      </c>
      <c r="B11" s="236"/>
      <c r="C11" s="159">
        <v>28169</v>
      </c>
    </row>
    <row r="12" spans="1:3" ht="27.75" customHeight="1">
      <c r="A12" s="236" t="s">
        <v>876</v>
      </c>
      <c r="B12" s="236"/>
      <c r="C12" s="159">
        <f>C10+C11</f>
        <v>1215911</v>
      </c>
    </row>
    <row r="13" spans="1:3" ht="54.6" customHeight="1">
      <c r="A13" s="237" t="s">
        <v>736</v>
      </c>
      <c r="B13" s="237"/>
      <c r="C13" s="237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G11" sqref="G11"/>
    </sheetView>
  </sheetViews>
  <sheetFormatPr defaultColWidth="8.75" defaultRowHeight="14.25"/>
  <cols>
    <col min="1" max="1" width="12.875" style="154" customWidth="1"/>
    <col min="2" max="2" width="33.875" style="154" customWidth="1"/>
    <col min="3" max="3" width="35.125" style="154" customWidth="1"/>
    <col min="4" max="16384" width="8.75" style="154"/>
  </cols>
  <sheetData>
    <row r="1" spans="1:3">
      <c r="A1" s="154" t="s">
        <v>746</v>
      </c>
    </row>
    <row r="2" spans="1:3" ht="29.45" customHeight="1">
      <c r="A2" s="238" t="s">
        <v>877</v>
      </c>
      <c r="B2" s="238"/>
      <c r="C2" s="238"/>
    </row>
    <row r="3" spans="1:3" ht="25.9" customHeight="1">
      <c r="A3" s="155"/>
      <c r="B3" s="156"/>
      <c r="C3" s="157" t="s">
        <v>732</v>
      </c>
    </row>
    <row r="4" spans="1:3" ht="29.25" customHeight="1">
      <c r="A4" s="235" t="s">
        <v>733</v>
      </c>
      <c r="B4" s="235"/>
      <c r="C4" s="158" t="s">
        <v>734</v>
      </c>
    </row>
    <row r="5" spans="1:3" ht="29.25" customHeight="1">
      <c r="A5" s="236" t="s">
        <v>878</v>
      </c>
      <c r="B5" s="236"/>
      <c r="C5" s="159">
        <v>1602322</v>
      </c>
    </row>
    <row r="6" spans="1:3" ht="29.25" customHeight="1">
      <c r="A6" s="236" t="s">
        <v>879</v>
      </c>
      <c r="B6" s="236"/>
      <c r="C6" s="159">
        <v>185300</v>
      </c>
    </row>
    <row r="7" spans="1:3" ht="29.25" customHeight="1">
      <c r="A7" s="236" t="s">
        <v>880</v>
      </c>
      <c r="B7" s="236"/>
      <c r="C7" s="159">
        <v>0</v>
      </c>
    </row>
    <row r="8" spans="1:3" ht="29.25" customHeight="1">
      <c r="A8" s="236" t="s">
        <v>881</v>
      </c>
      <c r="B8" s="236"/>
      <c r="C8" s="159">
        <f>C5+C6-C7</f>
        <v>1787622</v>
      </c>
    </row>
    <row r="9" spans="1:3" ht="29.25" customHeight="1">
      <c r="A9" s="235" t="s">
        <v>735</v>
      </c>
      <c r="B9" s="235"/>
      <c r="C9" s="158" t="s">
        <v>734</v>
      </c>
    </row>
    <row r="10" spans="1:3" ht="29.25" customHeight="1">
      <c r="A10" s="236" t="s">
        <v>882</v>
      </c>
      <c r="B10" s="236"/>
      <c r="C10" s="159">
        <v>1608123</v>
      </c>
    </row>
    <row r="11" spans="1:3" ht="29.25" customHeight="1">
      <c r="A11" s="236" t="s">
        <v>883</v>
      </c>
      <c r="B11" s="236"/>
      <c r="C11" s="159">
        <v>185300</v>
      </c>
    </row>
    <row r="12" spans="1:3" ht="29.25" customHeight="1">
      <c r="A12" s="236" t="s">
        <v>884</v>
      </c>
      <c r="B12" s="236"/>
      <c r="C12" s="159">
        <f>C10+C11</f>
        <v>1793423</v>
      </c>
    </row>
    <row r="13" spans="1:3">
      <c r="A13" s="155"/>
      <c r="B13" s="155"/>
      <c r="C13" s="155"/>
    </row>
    <row r="14" spans="1:3" ht="49.9" customHeight="1">
      <c r="A14" s="239" t="s">
        <v>736</v>
      </c>
      <c r="B14" s="239"/>
      <c r="C14" s="239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14</vt:i4>
      </vt:variant>
    </vt:vector>
  </HeadingPairs>
  <TitlesOfParts>
    <vt:vector size="32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附表5-1</vt:lpstr>
      <vt:lpstr>附表5-3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'附表1-2'!Print_Titles</vt:lpstr>
      <vt:lpstr>'附表1-3'!Print_Titles</vt:lpstr>
      <vt:lpstr>'附表1-4'!Print_Titles</vt:lpstr>
      <vt:lpstr>'附表1-5'!Print_Titles</vt:lpstr>
      <vt:lpstr>'附表1-6'!Print_Titles</vt:lpstr>
      <vt:lpstr>'附表1-9'!Print_Titles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lastPrinted>2020-02-18T09:13:19Z</cp:lastPrinted>
  <dcterms:created xsi:type="dcterms:W3CDTF">2008-01-10T09:59:00Z</dcterms:created>
  <dcterms:modified xsi:type="dcterms:W3CDTF">2020-02-18T09:13:27Z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